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85CA593B-77C8-4FD6-8A50-AD8E8A7DE484}" xr6:coauthVersionLast="46" xr6:coauthVersionMax="46" xr10:uidLastSave="{00000000-0000-0000-0000-000000000000}"/>
  <bookViews>
    <workbookView xWindow="38290" yWindow="-4390" windowWidth="38620" windowHeight="21220" tabRatio="675" activeTab="9"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16" r:id="rId9"/>
    <sheet name="Simple Transitor Amp" sheetId="3" r:id="rId10"/>
    <sheet name="Charge Pumps" sheetId="7" r:id="rId11"/>
    <sheet name="Wein Bridge Calculator" sheetId="2" r:id="rId12"/>
    <sheet name="Triangle Calculator" sheetId="12" r:id="rId13"/>
    <sheet name="Colour Maths" sheetId="9" r:id="rId14"/>
    <sheet name="Stress Strain" sheetId="15" r:id="rId15"/>
    <sheet name="Shear Stress" sheetId="14" r:id="rId16"/>
  </sheets>
  <calcPr calcId="181029"/>
</workbook>
</file>

<file path=xl/calcChain.xml><?xml version="1.0" encoding="utf-8"?>
<calcChain xmlns="http://schemas.openxmlformats.org/spreadsheetml/2006/main">
  <c r="J31" i="16" l="1"/>
  <c r="E31" i="16"/>
  <c r="K31" i="16" s="1"/>
  <c r="J30" i="16"/>
  <c r="G30" i="16" s="1"/>
  <c r="K30" i="16" s="1"/>
  <c r="G24" i="16"/>
  <c r="K24" i="16" s="1"/>
  <c r="I24" i="16" s="1"/>
  <c r="J24" i="16" s="1"/>
  <c r="E24" i="16"/>
  <c r="J15" i="16"/>
  <c r="E15" i="16"/>
  <c r="K15" i="16" s="1"/>
  <c r="J14" i="16"/>
  <c r="G14" i="16"/>
  <c r="K14" i="16" s="1"/>
  <c r="E8" i="16"/>
  <c r="X1" i="16"/>
  <c r="G8" i="16" s="1"/>
  <c r="K8" i="16" s="1"/>
  <c r="I8" i="16" s="1"/>
  <c r="J8" i="16" s="1"/>
  <c r="W1" i="16"/>
  <c r="G24" i="3"/>
  <c r="J31" i="3"/>
  <c r="E31" i="3" s="1"/>
  <c r="J30" i="3"/>
  <c r="G30" i="3" s="1"/>
  <c r="J15" i="3"/>
  <c r="J14" i="3"/>
  <c r="G14" i="3" s="1"/>
  <c r="E24" i="3"/>
  <c r="X1" i="3"/>
  <c r="G8" i="3" s="1"/>
  <c r="W1" i="3"/>
  <c r="E8" i="3" s="1"/>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K8" i="3" l="1"/>
  <c r="E15" i="3"/>
  <c r="K15" i="3" s="1"/>
  <c r="K30" i="3"/>
  <c r="K14" i="3"/>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K31" i="3" l="1"/>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K24" i="3" l="1"/>
  <c r="I24" i="3" s="1"/>
  <c r="J24" i="3" s="1"/>
  <c r="I8" i="3" l="1"/>
  <c r="J8" i="3" s="1"/>
  <c r="E10" i="2"/>
  <c r="F13" i="2" s="1"/>
  <c r="G13" i="2" s="1"/>
  <c r="C10" i="2"/>
  <c r="F17" i="2" s="1"/>
  <c r="G17" i="2" s="1"/>
  <c r="G10" i="2" l="1"/>
  <c r="J41" i="14"/>
</calcChain>
</file>

<file path=xl/sharedStrings.xml><?xml version="1.0" encoding="utf-8"?>
<sst xmlns="http://schemas.openxmlformats.org/spreadsheetml/2006/main" count="594" uniqueCount="305">
  <si>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</si>
  <si>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</si>
  <si>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</si>
  <si>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</si>
  <si>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</si>
  <si>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</si>
  <si>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</si>
  <si>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</si>
  <si>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</si>
  <si>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</si>
  <si>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</si>
  <si>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</si>
  <si>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</si>
  <si>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</si>
  <si>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</si>
  <si>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</si>
  <si>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</si>
  <si>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</si>
  <si>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</si>
  <si>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</si>
  <si>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</si>
  <si>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</si>
  <si>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</si>
  <si>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</si>
  <si>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</si>
  <si>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</si>
  <si>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</si>
  <si>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</si>
  <si>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</si>
  <si>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</si>
  <si>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</si>
  <si>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</si>
  <si>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</si>
  <si>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</si>
  <si>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</si>
  <si>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</si>
  <si>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</si>
  <si>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</si>
  <si>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</si>
  <si>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</si>
  <si>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</si>
  <si>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</si>
  <si>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</si>
  <si>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</si>
  <si>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</si>
  <si>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</si>
  <si>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</si>
  <si>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</si>
  <si>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</si>
  <si>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</si>
  <si>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</si>
  <si>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</si>
  <si>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</si>
  <si>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</si>
  <si>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</si>
  <si>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</si>
  <si>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</si>
  <si>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</si>
  <si>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</si>
  <si>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</si>
  <si>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</si>
  <si>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</si>
  <si>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</si>
  <si>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</si>
  <si>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</si>
  <si>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</si>
  <si>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</si>
  <si>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</si>
  <si>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</si>
  <si>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</si>
  <si>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</si>
  <si>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</si>
  <si>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</si>
  <si>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</si>
  <si>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</si>
  <si>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</si>
  <si>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</si>
  <si>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</si>
  <si>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</si>
  <si>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</si>
  <si>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</si>
  <si>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</si>
  <si>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</si>
  <si>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</si>
  <si>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</si>
  <si>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</si>
  <si>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</si>
  <si>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</si>
  <si>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</si>
  <si>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</si>
  <si>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</si>
  <si>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</si>
  <si>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</si>
  <si>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</si>
  <si>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</si>
  <si>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</si>
  <si>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</si>
  <si>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</si>
  <si>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</si>
  <si>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</si>
  <si>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</si>
  <si>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</si>
  <si>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</si>
  <si>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</si>
  <si>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</si>
  <si>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</si>
  <si>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</si>
  <si>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</si>
  <si>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</si>
  <si>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</si>
  <si>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</si>
  <si>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</si>
  <si>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</si>
  <si>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</si>
  <si>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</si>
  <si>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</si>
  <si>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</si>
  <si>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</si>
  <si>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</si>
  <si>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</si>
  <si>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</si>
  <si>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</si>
  <si>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</si>
  <si>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</si>
  <si>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</si>
  <si>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</si>
  <si>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</si>
  <si>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</si>
  <si>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</si>
  <si>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</si>
  <si>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</si>
  <si>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</si>
  <si>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</si>
  <si>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</si>
  <si>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</si>
  <si>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</si>
  <si>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</si>
  <si>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</si>
  <si>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</si>
  <si>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</si>
  <si>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</si>
  <si>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</si>
  <si>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</si>
  <si>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</si>
  <si>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</si>
  <si>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</si>
  <si>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</si>
  <si>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</si>
  <si>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</si>
  <si>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</si>
  <si>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</si>
  <si>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</si>
  <si>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</si>
  <si>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</si>
  <si>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</si>
  <si>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</si>
  <si>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</si>
  <si>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</si>
  <si>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</si>
  <si>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</si>
  <si>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</si>
  <si>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</si>
  <si>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</si>
  <si>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</si>
  <si>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</si>
  <si>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</si>
  <si>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</si>
  <si>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</si>
  <si>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</si>
  <si>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</si>
  <si>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</si>
  <si>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</si>
  <si>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</si>
  <si>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</si>
  <si>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</si>
  <si>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</si>
  <si>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</si>
  <si>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</si>
  <si>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</si>
  <si>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</si>
  <si>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</si>
  <si>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</si>
  <si>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</si>
  <si>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</si>
  <si>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</si>
  <si>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</si>
  <si>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</si>
  <si>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</si>
  <si>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</si>
  <si>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</si>
  <si>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</si>
  <si>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</si>
  <si>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</si>
  <si>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</si>
  <si>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</si>
  <si>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</si>
  <si>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</si>
  <si>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</si>
  <si>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</si>
  <si>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</si>
  <si>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</si>
  <si>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</si>
  <si>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</si>
  <si>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</si>
  <si>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</si>
  <si>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</si>
  <si>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</si>
  <si>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</si>
  <si>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</si>
  <si>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</si>
  <si>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</si>
  <si>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</si>
  <si>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</si>
  <si>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</si>
  <si>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</si>
  <si>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</si>
  <si>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</si>
  <si>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</si>
  <si>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</si>
  <si>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</si>
  <si>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</si>
  <si>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</si>
  <si>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</si>
  <si>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</si>
  <si>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</si>
  <si>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</si>
  <si>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</si>
  <si>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</si>
  <si>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</si>
  <si>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</si>
  <si>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</si>
  <si>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</si>
  <si>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</si>
  <si>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</si>
  <si>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</si>
  <si>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</si>
  <si>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</si>
  <si>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</si>
  <si>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</si>
  <si>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</si>
  <si>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</si>
  <si>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</si>
  <si>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</si>
  <si>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</si>
  <si>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</si>
  <si>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</si>
  <si>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</si>
  <si>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</si>
  <si>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</si>
  <si>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</si>
  <si>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</si>
  <si>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</si>
  <si>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</si>
  <si>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</si>
  <si>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</si>
  <si>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</si>
  <si>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</si>
  <si>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</si>
  <si>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</si>
  <si>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</si>
  <si>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</si>
  <si>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</si>
  <si>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</si>
  <si>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</si>
  <si>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</si>
  <si>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</si>
  <si>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</si>
  <si>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</si>
  <si>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</si>
  <si>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</si>
  <si>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</si>
  <si>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</si>
  <si>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</si>
  <si>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</si>
  <si>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</si>
  <si>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</si>
  <si>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</si>
  <si>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</si>
  <si>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</si>
  <si>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</si>
  <si>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</si>
  <si>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</si>
  <si>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</si>
  <si>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</si>
  <si>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</si>
  <si>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</si>
  <si>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</si>
  <si>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</si>
  <si>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</si>
  <si>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</si>
  <si>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</si>
  <si>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</si>
  <si>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</si>
  <si>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</si>
  <si>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</si>
  <si>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</si>
  <si>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</si>
  <si>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</si>
  <si>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</si>
  <si>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</si>
  <si>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Inverting Transistor Amp</t>
  </si>
  <si>
    <t>Non-Inverting Transistor Amp</t>
  </si>
  <si>
    <t>Re</t>
  </si>
  <si>
    <t>Rc</t>
  </si>
  <si>
    <t>Gain=(-Rc/Re)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</si>
</sst>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s>
  <fonts count="42">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s>
  <fills count="7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s>
  <borders count="71">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72">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5" fontId="28" fillId="25" borderId="15" xfId="17" applyNumberFormat="1" applyFont="1" applyFill="1" applyBorder="1" applyAlignment="1">
      <alignment horizontal="center"/>
    </xf>
    <xf numFmtId="175" fontId="28" fillId="31" borderId="15" xfId="17" applyNumberFormat="1" applyFont="1" applyFill="1" applyBorder="1" applyAlignment="1">
      <alignment horizontal="center"/>
    </xf>
    <xf numFmtId="175" fontId="28" fillId="26" borderId="15" xfId="17" applyNumberFormat="1" applyFont="1" applyFill="1" applyBorder="1" applyAlignment="1">
      <alignment horizontal="center"/>
    </xf>
    <xf numFmtId="175" fontId="28" fillId="41" borderId="15" xfId="17" applyNumberFormat="1" applyFont="1" applyFill="1" applyBorder="1" applyAlignment="1">
      <alignment horizontal="center"/>
    </xf>
    <xf numFmtId="175" fontId="28" fillId="42" borderId="15" xfId="17" applyNumberFormat="1" applyFont="1" applyFill="1" applyBorder="1" applyAlignment="1">
      <alignment horizontal="center"/>
    </xf>
    <xf numFmtId="175" fontId="28" fillId="43" borderId="15" xfId="17" applyNumberFormat="1" applyFont="1" applyFill="1" applyBorder="1" applyAlignment="1">
      <alignment horizontal="center"/>
    </xf>
    <xf numFmtId="175"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xf numFmtId="43" fontId="28" fillId="26" borderId="15" xfId="17" applyFont="1" applyFill="1" applyBorder="1" applyAlignment="1">
      <alignment horizontal="right"/>
    </xf>
    <xf numFmtId="43" fontId="28" fillId="26" borderId="15" xfId="17" applyFont="1" applyFill="1" applyBorder="1" applyAlignment="1">
      <alignment horizontal="left"/>
    </xf>
    <xf numFmtId="0" fontId="38" fillId="26" borderId="15" xfId="0" applyFont="1" applyFill="1" applyBorder="1" applyAlignment="1">
      <alignment horizontal="center"/>
    </xf>
    <xf numFmtId="43" fontId="28" fillId="26" borderId="51" xfId="17" applyFont="1" applyFill="1" applyBorder="1" applyAlignment="1">
      <alignment horizontal="center"/>
    </xf>
    <xf numFmtId="0" fontId="28" fillId="26" borderId="52" xfId="0" applyFont="1" applyFill="1" applyBorder="1" applyAlignment="1">
      <alignment horizontal="center"/>
    </xf>
    <xf numFmtId="0" fontId="28" fillId="26" borderId="53" xfId="0" applyFont="1" applyFill="1" applyBorder="1" applyAlignment="1">
      <alignment horizontal="center"/>
    </xf>
    <xf numFmtId="0" fontId="39" fillId="51" borderId="15" xfId="0" applyFont="1" applyFill="1" applyBorder="1" applyAlignment="1">
      <alignment horizontal="center"/>
    </xf>
    <xf numFmtId="0" fontId="36" fillId="26" borderId="53" xfId="0" applyFont="1" applyFill="1" applyBorder="1" applyAlignment="1">
      <alignment horizontal="center"/>
    </xf>
    <xf numFmtId="43" fontId="28" fillId="26" borderId="54" xfId="17" applyFont="1" applyFill="1" applyBorder="1" applyAlignment="1">
      <alignment horizontal="center"/>
    </xf>
    <xf numFmtId="0" fontId="28" fillId="26" borderId="54" xfId="0" applyFont="1" applyFill="1" applyBorder="1" applyAlignment="1">
      <alignment horizontal="center"/>
    </xf>
    <xf numFmtId="0" fontId="28" fillId="58" borderId="15" xfId="0" applyFont="1" applyFill="1" applyBorder="1" applyAlignment="1">
      <alignment horizontal="center"/>
    </xf>
    <xf numFmtId="0" fontId="28" fillId="26" borderId="55" xfId="0" applyFont="1" applyFill="1" applyBorder="1" applyAlignment="1">
      <alignment horizontal="center"/>
    </xf>
    <xf numFmtId="0" fontId="39" fillId="57" borderId="15" xfId="0" applyFont="1" applyFill="1" applyBorder="1" applyAlignment="1">
      <alignment horizontal="center"/>
    </xf>
    <xf numFmtId="0" fontId="39" fillId="56" borderId="15" xfId="0" applyFont="1" applyFill="1" applyBorder="1" applyAlignment="1">
      <alignment horizontal="center"/>
    </xf>
    <xf numFmtId="49" fontId="28" fillId="26" borderId="39" xfId="0" applyNumberFormat="1" applyFont="1" applyFill="1" applyBorder="1" applyAlignment="1">
      <alignment horizontal="center"/>
    </xf>
    <xf numFmtId="49" fontId="36" fillId="26" borderId="39" xfId="0" applyNumberFormat="1" applyFont="1" applyFill="1" applyBorder="1" applyAlignment="1">
      <alignment horizontal="center"/>
    </xf>
    <xf numFmtId="0" fontId="39" fillId="55" borderId="15" xfId="0" applyFont="1" applyFill="1" applyBorder="1" applyAlignment="1">
      <alignment horizontal="center"/>
    </xf>
    <xf numFmtId="0" fontId="28" fillId="26" borderId="56" xfId="0" applyFont="1" applyFill="1" applyBorder="1" applyAlignment="1">
      <alignment horizontal="center"/>
    </xf>
    <xf numFmtId="0" fontId="28" fillId="26" borderId="57" xfId="0" applyFont="1" applyFill="1" applyBorder="1" applyAlignment="1">
      <alignment horizontal="center"/>
    </xf>
    <xf numFmtId="0" fontId="28" fillId="26" borderId="58" xfId="0" applyFont="1" applyFill="1" applyBorder="1" applyAlignment="1">
      <alignment horizontal="center"/>
    </xf>
    <xf numFmtId="0" fontId="28" fillId="26" borderId="59" xfId="0" applyFont="1" applyFill="1" applyBorder="1" applyAlignment="1">
      <alignment horizontal="center"/>
    </xf>
    <xf numFmtId="0" fontId="28" fillId="26" borderId="60" xfId="0" applyFont="1" applyFill="1" applyBorder="1" applyAlignment="1">
      <alignment horizontal="center"/>
    </xf>
    <xf numFmtId="0" fontId="28" fillId="26" borderId="61" xfId="0" applyFont="1" applyFill="1" applyBorder="1" applyAlignment="1">
      <alignment horizontal="center"/>
    </xf>
    <xf numFmtId="0" fontId="28" fillId="26" borderId="62" xfId="0" applyFont="1" applyFill="1" applyBorder="1" applyAlignment="1">
      <alignment horizontal="center"/>
    </xf>
    <xf numFmtId="0" fontId="30" fillId="26" borderId="0" xfId="0" applyFont="1" applyFill="1" applyAlignment="1">
      <alignment horizontal="center"/>
    </xf>
    <xf numFmtId="0" fontId="30" fillId="26" borderId="67" xfId="0" applyFont="1" applyFill="1" applyBorder="1" applyAlignment="1">
      <alignment horizontal="center"/>
    </xf>
    <xf numFmtId="0" fontId="30" fillId="26" borderId="68" xfId="0" applyFont="1" applyFill="1" applyBorder="1" applyAlignment="1">
      <alignment horizontal="center"/>
    </xf>
    <xf numFmtId="0" fontId="30" fillId="26" borderId="69" xfId="0" applyFont="1" applyFill="1" applyBorder="1" applyAlignment="1">
      <alignment horizontal="center"/>
    </xf>
    <xf numFmtId="0" fontId="30" fillId="47" borderId="0" xfId="0" applyFont="1" applyFill="1" applyAlignment="1">
      <alignment horizontal="center"/>
    </xf>
    <xf numFmtId="0" fontId="30" fillId="38" borderId="0" xfId="0" applyFont="1" applyFill="1" applyAlignment="1">
      <alignment horizontal="center"/>
    </xf>
    <xf numFmtId="0" fontId="30" fillId="37" borderId="0" xfId="0" applyFont="1" applyFill="1" applyAlignment="1">
      <alignment horizontal="center"/>
    </xf>
    <xf numFmtId="0" fontId="40" fillId="55" borderId="0" xfId="0" applyFont="1" applyFill="1" applyAlignment="1">
      <alignment horizontal="center"/>
    </xf>
    <xf numFmtId="0" fontId="40" fillId="50" borderId="0" xfId="0" applyFont="1" applyFill="1" applyAlignment="1">
      <alignment horizontal="center"/>
    </xf>
    <xf numFmtId="0" fontId="40" fillId="33" borderId="0" xfId="0" applyFont="1" applyFill="1" applyAlignment="1">
      <alignment horizontal="center"/>
    </xf>
    <xf numFmtId="0" fontId="40" fillId="57" borderId="0" xfId="0" applyFont="1" applyFill="1" applyAlignment="1">
      <alignment horizontal="center"/>
    </xf>
    <xf numFmtId="0" fontId="40" fillId="58" borderId="0" xfId="0" applyFont="1" applyFill="1" applyAlignment="1">
      <alignment horizontal="center"/>
    </xf>
    <xf numFmtId="0" fontId="40" fillId="28" borderId="0" xfId="0" applyFont="1" applyFill="1" applyAlignment="1">
      <alignment horizontal="center"/>
    </xf>
    <xf numFmtId="0" fontId="40" fillId="59" borderId="0" xfId="0" applyFont="1" applyFill="1" applyAlignment="1">
      <alignment horizontal="center"/>
    </xf>
    <xf numFmtId="0" fontId="40" fillId="60" borderId="0" xfId="0" applyFont="1" applyFill="1" applyAlignment="1">
      <alignment horizontal="center"/>
    </xf>
    <xf numFmtId="0" fontId="40" fillId="61" borderId="0" xfId="0" applyFont="1" applyFill="1" applyAlignment="1">
      <alignment horizontal="center"/>
    </xf>
    <xf numFmtId="0" fontId="40" fillId="62" borderId="0" xfId="0" applyFont="1" applyFill="1" applyAlignment="1">
      <alignment horizontal="center"/>
    </xf>
    <xf numFmtId="0" fontId="40" fillId="63" borderId="0" xfId="0" applyFont="1" applyFill="1" applyAlignment="1">
      <alignment horizontal="center"/>
    </xf>
    <xf numFmtId="0" fontId="40" fillId="25" borderId="0" xfId="0" applyFont="1" applyFill="1" applyAlignment="1">
      <alignment horizontal="center"/>
    </xf>
    <xf numFmtId="0" fontId="40" fillId="64" borderId="0" xfId="0" applyFont="1" applyFill="1" applyAlignment="1">
      <alignment horizontal="center"/>
    </xf>
    <xf numFmtId="0" fontId="40" fillId="16" borderId="0" xfId="0" applyFont="1" applyFill="1" applyAlignment="1">
      <alignment horizontal="center"/>
    </xf>
    <xf numFmtId="0" fontId="40" fillId="65" borderId="0" xfId="0" applyFont="1" applyFill="1" applyAlignment="1">
      <alignment horizontal="center"/>
    </xf>
    <xf numFmtId="0" fontId="40" fillId="66" borderId="0" xfId="0" applyFont="1" applyFill="1" applyAlignment="1">
      <alignment horizontal="center"/>
    </xf>
    <xf numFmtId="0" fontId="40" fillId="67" borderId="0" xfId="0" applyFont="1" applyFill="1" applyAlignment="1">
      <alignment horizontal="center"/>
    </xf>
    <xf numFmtId="0" fontId="40" fillId="68" borderId="0" xfId="0" applyFont="1" applyFill="1" applyAlignment="1">
      <alignment horizontal="center"/>
    </xf>
    <xf numFmtId="0" fontId="40" fillId="69" borderId="0" xfId="0" applyFont="1" applyFill="1" applyAlignment="1">
      <alignment horizontal="center"/>
    </xf>
    <xf numFmtId="0" fontId="40" fillId="70" borderId="0" xfId="0" applyFont="1" applyFill="1" applyAlignment="1">
      <alignment horizontal="center"/>
    </xf>
    <xf numFmtId="0" fontId="28" fillId="26" borderId="0" xfId="0" applyFont="1" applyFill="1" applyBorder="1" applyAlignment="1">
      <alignment horizontal="center"/>
    </xf>
    <xf numFmtId="0" fontId="41" fillId="26" borderId="70" xfId="0" applyFont="1" applyFill="1" applyBorder="1" applyAlignment="1">
      <alignment horizontal="center" vertic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41" fillId="26" borderId="0" xfId="0" applyFont="1" applyFill="1" applyBorder="1" applyAlignment="1">
      <alignment horizontal="left" vertical="center"/>
    </xf>
    <xf numFmtId="0" fontId="13" fillId="0" borderId="0" xfId="0" applyFont="1" applyAlignment="1">
      <alignment horizontal="center" vertical="center"/>
    </xf>
    <xf numFmtId="43" fontId="28" fillId="26" borderId="18" xfId="17" applyFont="1" applyFill="1" applyBorder="1" applyAlignment="1">
      <alignment horizontal="center" vertical="center"/>
    </xf>
    <xf numFmtId="43" fontId="28" fillId="26" borderId="19" xfId="17" applyFont="1" applyFill="1" applyBorder="1" applyAlignment="1">
      <alignment horizontal="center" vertic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43" fontId="28" fillId="26" borderId="18" xfId="17" applyFont="1" applyFill="1" applyBorder="1" applyAlignment="1">
      <alignment horizontal="right" vertical="center"/>
    </xf>
    <xf numFmtId="43" fontId="28" fillId="26" borderId="19" xfId="17" applyFont="1" applyFill="1" applyBorder="1" applyAlignment="1">
      <alignment horizontal="right" vertical="center"/>
    </xf>
    <xf numFmtId="49" fontId="28" fillId="26" borderId="47" xfId="17" applyNumberFormat="1" applyFont="1" applyFill="1" applyBorder="1" applyAlignment="1">
      <alignment horizontal="center"/>
    </xf>
    <xf numFmtId="49" fontId="28" fillId="26" borderId="48" xfId="17" applyNumberFormat="1" applyFont="1" applyFill="1" applyBorder="1" applyAlignment="1">
      <alignment horizontal="center"/>
    </xf>
    <xf numFmtId="43" fontId="28" fillId="26" borderId="49" xfId="17" applyFont="1" applyFill="1" applyBorder="1" applyAlignment="1">
      <alignment horizontal="center"/>
    </xf>
    <xf numFmtId="43" fontId="28" fillId="26" borderId="50" xfId="17" applyFont="1" applyFill="1" applyBorder="1" applyAlignment="1">
      <alignment horizontal="center"/>
    </xf>
    <xf numFmtId="49" fontId="28" fillId="26" borderId="18" xfId="17" applyNumberFormat="1" applyFont="1" applyFill="1" applyBorder="1" applyAlignment="1">
      <alignment horizontal="center" vertical="center"/>
    </xf>
    <xf numFmtId="49" fontId="28" fillId="26" borderId="19" xfId="17" applyNumberFormat="1" applyFont="1" applyFill="1" applyBorder="1" applyAlignment="1">
      <alignment horizontal="center" vertical="center"/>
    </xf>
    <xf numFmtId="43" fontId="28" fillId="26" borderId="63" xfId="17" applyFont="1" applyFill="1" applyBorder="1" applyAlignment="1">
      <alignment horizontal="right" vertical="center"/>
    </xf>
    <xf numFmtId="43" fontId="28" fillId="26" borderId="64" xfId="17" applyFont="1" applyFill="1" applyBorder="1" applyAlignment="1">
      <alignment horizontal="right" vertical="center"/>
    </xf>
    <xf numFmtId="43" fontId="28" fillId="26" borderId="65" xfId="17" applyFont="1" applyFill="1" applyBorder="1" applyAlignment="1">
      <alignment horizontal="right" vertical="center"/>
    </xf>
    <xf numFmtId="43" fontId="28" fillId="26" borderId="66" xfId="17" applyFont="1" applyFill="1" applyBorder="1" applyAlignment="1">
      <alignment horizontal="right" vertic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00FF"/>
      <color rgb="FF99FF33"/>
      <color rgb="FFFA8D0A"/>
      <color rgb="FFFC6508"/>
      <color rgb="FFFA9F0A"/>
      <color rgb="FFFA880A"/>
      <color rgb="FFFCA508"/>
      <color rgb="FFFEC906"/>
      <color rgb="FFFEDB06"/>
      <color rgb="FFC1FE1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12.png"/><Relationship Id="rId7" Type="http://schemas.openxmlformats.org/officeDocument/2006/relationships/image" Target="../media/image14.png"/><Relationship Id="rId2" Type="http://schemas.microsoft.com/office/2007/relationships/hdphoto" Target="../media/hdphoto1.wdp"/><Relationship Id="rId1" Type="http://schemas.openxmlformats.org/officeDocument/2006/relationships/image" Target="../media/image11.png"/><Relationship Id="rId6" Type="http://schemas.microsoft.com/office/2007/relationships/hdphoto" Target="../media/hdphoto3.wdp"/><Relationship Id="rId5" Type="http://schemas.openxmlformats.org/officeDocument/2006/relationships/image" Target="../media/image13.png"/><Relationship Id="rId4" Type="http://schemas.microsoft.com/office/2007/relationships/hdphoto" Target="../media/hdphoto2.wdp"/></Relationships>
</file>

<file path=xl/drawings/_rels/drawing5.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07/relationships/hdphoto" Target="../media/hdphoto5.wdp"/><Relationship Id="rId1" Type="http://schemas.openxmlformats.org/officeDocument/2006/relationships/image" Target="../media/image15.png"/><Relationship Id="rId5" Type="http://schemas.openxmlformats.org/officeDocument/2006/relationships/image" Target="../media/image17.png"/><Relationship Id="rId4" Type="http://schemas.microsoft.com/office/2007/relationships/hdphoto" Target="../media/hdphoto6.wdp"/></Relationships>
</file>

<file path=xl/drawings/_rels/drawing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2" name="Picture 1">
          <a:extLst>
            <a:ext uri="{FF2B5EF4-FFF2-40B4-BE49-F238E27FC236}">
              <a16:creationId xmlns:a16="http://schemas.microsoft.com/office/drawing/2014/main" id="{04B0C013-E913-4A4D-918E-2389427C60B3}"/>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a:fillRect/>
        </a:stretch>
      </xdr:blipFill>
      <xdr:spPr>
        <a:xfrm>
          <a:off x="9023350" y="521335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3" name="Picture 2">
          <a:extLst>
            <a:ext uri="{FF2B5EF4-FFF2-40B4-BE49-F238E27FC236}">
              <a16:creationId xmlns:a16="http://schemas.microsoft.com/office/drawing/2014/main" id="{2A57327F-5DB6-469B-9A2A-EE3406AEB7B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 uri="{28A0092B-C50C-407E-A947-70E740481C1C}">
              <a14:useLocalDpi xmlns:a14="http://schemas.microsoft.com/office/drawing/2010/main" val="0"/>
            </a:ext>
          </a:extLst>
        </a:blip>
        <a:stretch>
          <a:fillRect/>
        </a:stretch>
      </xdr:blipFill>
      <xdr:spPr>
        <a:xfrm>
          <a:off x="11929250" y="42838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4" name="Picture 3">
          <a:extLst>
            <a:ext uri="{FF2B5EF4-FFF2-40B4-BE49-F238E27FC236}">
              <a16:creationId xmlns:a16="http://schemas.microsoft.com/office/drawing/2014/main" id="{954415E7-10D6-4188-B85F-141C1BB43DFA}"/>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artisticGlowEdges/>
                  </a14:imgEffect>
                </a14:imgLayer>
              </a14:imgProps>
            </a:ext>
            <a:ext uri="{28A0092B-C50C-407E-A947-70E740481C1C}">
              <a14:useLocalDpi xmlns:a14="http://schemas.microsoft.com/office/drawing/2010/main" val="0"/>
            </a:ext>
          </a:extLst>
        </a:blip>
        <a:stretch>
          <a:fillRect/>
        </a:stretch>
      </xdr:blipFill>
      <xdr:spPr>
        <a:xfrm>
          <a:off x="9107450" y="1798600"/>
          <a:ext cx="15587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5" name="Picture 4">
          <a:extLst>
            <a:ext uri="{FF2B5EF4-FFF2-40B4-BE49-F238E27FC236}">
              <a16:creationId xmlns:a16="http://schemas.microsoft.com/office/drawing/2014/main" id="{4C250EBC-149F-428D-84F7-36D6E669F1D5}"/>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artisticGlowEdges/>
                  </a14:imgEffect>
                </a14:imgLayer>
              </a14:imgProps>
            </a:ext>
            <a:ext uri="{28A0092B-C50C-407E-A947-70E740481C1C}">
              <a14:useLocalDpi xmlns:a14="http://schemas.microsoft.com/office/drawing/2010/main" val="0"/>
            </a:ext>
          </a:extLst>
        </a:blip>
        <a:stretch>
          <a:fillRect/>
        </a:stretch>
      </xdr:blipFill>
      <xdr:spPr>
        <a:xfrm>
          <a:off x="11784750" y="12573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5F654251-F565-461B-978E-B48EF52A9BB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16</xdr:col>
      <xdr:colOff>546101</xdr:colOff>
      <xdr:row>2</xdr:row>
      <xdr:rowOff>19050</xdr:rowOff>
    </xdr:from>
    <xdr:to>
      <xdr:col>22</xdr:col>
      <xdr:colOff>349251</xdr:colOff>
      <xdr:row>22</xdr:row>
      <xdr:rowOff>6355</xdr:rowOff>
    </xdr:to>
    <xdr:pic>
      <xdr:nvPicPr>
        <xdr:cNvPr id="4" name="Picture 3">
          <a:extLst>
            <a:ext uri="{FF2B5EF4-FFF2-40B4-BE49-F238E27FC236}">
              <a16:creationId xmlns:a16="http://schemas.microsoft.com/office/drawing/2014/main" id="{C80219BE-649E-4B0E-8640-48EE316E7648}"/>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Lst>
        </a:blip>
        <a:stretch>
          <a:fillRect/>
        </a:stretch>
      </xdr:blipFill>
      <xdr:spPr>
        <a:xfrm>
          <a:off x="13023851" y="387350"/>
          <a:ext cx="3727450" cy="3911605"/>
        </a:xfrm>
        <a:prstGeom prst="rect">
          <a:avLst/>
        </a:prstGeom>
      </xdr:spPr>
    </xdr:pic>
    <xdr:clientData/>
  </xdr:twoCellAnchor>
  <xdr:twoCellAnchor editAs="oneCell">
    <xdr:from>
      <xdr:col>12</xdr:col>
      <xdr:colOff>901700</xdr:colOff>
      <xdr:row>32</xdr:row>
      <xdr:rowOff>95421</xdr:rowOff>
    </xdr:from>
    <xdr:to>
      <xdr:col>25</xdr:col>
      <xdr:colOff>266640</xdr:colOff>
      <xdr:row>61</xdr:row>
      <xdr:rowOff>17735</xdr:rowOff>
    </xdr:to>
    <xdr:pic>
      <xdr:nvPicPr>
        <xdr:cNvPr id="3" name="Picture 2">
          <a:extLst>
            <a:ext uri="{FF2B5EF4-FFF2-40B4-BE49-F238E27FC236}">
              <a16:creationId xmlns:a16="http://schemas.microsoft.com/office/drawing/2014/main" id="{55D1997D-50E8-425B-A0EC-4926586645F2}"/>
            </a:ext>
          </a:extLst>
        </xdr:cNvPr>
        <xdr:cNvPicPr>
          <a:picLocks noChangeAspect="1"/>
        </xdr:cNvPicPr>
      </xdr:nvPicPr>
      <xdr:blipFill>
        <a:blip xmlns:r="http://schemas.openxmlformats.org/officeDocument/2006/relationships" r:embed="rId5"/>
        <a:stretch>
          <a:fillRect/>
        </a:stretch>
      </xdr:blipFill>
      <xdr:spPr>
        <a:xfrm>
          <a:off x="9817100" y="6229521"/>
          <a:ext cx="8813740" cy="526266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sheetPr>
    <tabColor rgb="FF00B0F0"/>
  </sheetPr>
  <dimension ref="C1:X31"/>
  <sheetViews>
    <sheetView tabSelected="1" workbookViewId="0">
      <selection activeCell="J55" sqref="J55"/>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3:24">
      <c r="V1" s="144" t="s">
        <v>252</v>
      </c>
      <c r="W1" s="144">
        <f>IF(E9&lt;&gt;0,1, IF(E10&lt;&gt;0,1000,IF(E11&lt;&gt;0,1000000,0)))</f>
        <v>1000</v>
      </c>
      <c r="X1" s="144">
        <f>IF(G9&lt;&gt;0,1, IF(G10&lt;&gt;0,1000,IF(G11&lt;&gt;0,1000000,0)))</f>
        <v>1000</v>
      </c>
    </row>
    <row r="2" spans="3:24">
      <c r="V2" s="244"/>
      <c r="W2" s="144"/>
      <c r="X2" s="144"/>
    </row>
    <row r="3" spans="3:24">
      <c r="C3" s="253" t="s">
        <v>300</v>
      </c>
      <c r="D3" s="253"/>
      <c r="E3" s="253"/>
      <c r="F3" s="253"/>
      <c r="G3" s="253"/>
      <c r="H3" s="253"/>
      <c r="I3" s="253"/>
      <c r="V3" s="244"/>
      <c r="W3" s="144"/>
      <c r="X3" s="144"/>
    </row>
    <row r="4" spans="3:24">
      <c r="C4" s="253"/>
      <c r="D4" s="253"/>
      <c r="E4" s="253"/>
      <c r="F4" s="253"/>
      <c r="G4" s="253"/>
      <c r="H4" s="253"/>
      <c r="I4" s="253"/>
      <c r="W4" s="144"/>
      <c r="X4" s="144"/>
    </row>
    <row r="5" spans="3:24" ht="23.5" thickBot="1">
      <c r="C5" s="245"/>
      <c r="D5" s="245"/>
      <c r="E5" s="245"/>
      <c r="F5" s="245"/>
      <c r="G5" s="245"/>
      <c r="H5" s="245"/>
      <c r="I5" s="245"/>
      <c r="W5" s="244"/>
      <c r="X5" s="244"/>
    </row>
    <row r="6" spans="3:24" ht="15" thickBot="1">
      <c r="C6" s="218" t="s">
        <v>25</v>
      </c>
      <c r="D6" s="219"/>
      <c r="E6" s="219" t="s">
        <v>303</v>
      </c>
      <c r="F6" s="219"/>
      <c r="G6" s="219" t="s">
        <v>302</v>
      </c>
      <c r="H6" s="219"/>
      <c r="I6" s="219" t="s">
        <v>27</v>
      </c>
      <c r="J6" s="219" t="s">
        <v>28</v>
      </c>
      <c r="K6" s="219" t="s">
        <v>304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53" t="s">
        <v>301</v>
      </c>
      <c r="D19" s="253"/>
      <c r="E19" s="253"/>
      <c r="F19" s="253"/>
      <c r="G19" s="253"/>
      <c r="H19" s="253"/>
      <c r="I19" s="253"/>
    </row>
    <row r="20" spans="3:13">
      <c r="C20" s="253"/>
      <c r="D20" s="253"/>
      <c r="E20" s="253"/>
      <c r="F20" s="253"/>
      <c r="G20" s="253"/>
      <c r="H20" s="253"/>
      <c r="I20" s="253"/>
    </row>
    <row r="21" spans="3:13" ht="23.5" thickBot="1">
      <c r="C21" s="245"/>
      <c r="D21" s="245"/>
      <c r="E21" s="245"/>
      <c r="F21" s="245"/>
      <c r="G21" s="245"/>
      <c r="H21" s="245"/>
      <c r="I21" s="245"/>
    </row>
    <row r="22" spans="3:13" ht="15" thickBot="1">
      <c r="C22" s="218" t="s">
        <v>25</v>
      </c>
      <c r="D22" s="219"/>
      <c r="E22" s="219" t="s">
        <v>303</v>
      </c>
      <c r="F22" s="219"/>
      <c r="G22" s="219" t="s">
        <v>302</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zoomScale="70" zoomScaleNormal="70" workbookViewId="0">
      <selection activeCell="L26" sqref="L26"/>
    </sheetView>
  </sheetViews>
  <sheetFormatPr defaultRowHeight="14"/>
  <cols>
    <col min="9" max="9" width="19.25" bestFit="1" customWidth="1"/>
    <col min="11" max="11" width="8" customWidth="1"/>
  </cols>
  <sheetData>
    <row r="22" spans="9:14">
      <c r="L22" s="6" t="s">
        <v>102</v>
      </c>
      <c r="M22" s="6" t="s">
        <v>104</v>
      </c>
    </row>
    <row r="23" spans="9:14">
      <c r="I23" s="6" t="s">
        <v>101</v>
      </c>
      <c r="J23" s="6" t="s">
        <v>25</v>
      </c>
      <c r="K23" s="6" t="s">
        <v>27</v>
      </c>
      <c r="L23" s="6" t="s">
        <v>103</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6" t="s">
        <v>107</v>
      </c>
      <c r="J31" s="1"/>
      <c r="K31" s="1"/>
      <c r="L31" s="1"/>
      <c r="M31" s="1"/>
      <c r="N31" s="1"/>
    </row>
    <row r="32" spans="9:14">
      <c r="I32" s="6" t="s">
        <v>111</v>
      </c>
    </row>
  </sheetData>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3"/>
      <c r="F3" s="3"/>
      <c r="G3" s="4" t="s">
        <v>6</v>
      </c>
      <c r="H3">
        <v>3.1415926540000001</v>
      </c>
    </row>
    <row r="4" spans="1:9">
      <c r="E4" s="3"/>
      <c r="F4" s="3"/>
    </row>
    <row r="5" spans="1:9">
      <c r="B5" t="s">
        <v>7</v>
      </c>
      <c r="E5" s="3"/>
      <c r="F5" s="3"/>
    </row>
    <row r="6" spans="1:9">
      <c r="D6" s="5"/>
    </row>
    <row r="7" spans="1:9">
      <c r="A7" s="6"/>
      <c r="B7" s="254" t="s">
        <v>8</v>
      </c>
      <c r="C7" s="254"/>
      <c r="D7" s="254" t="s">
        <v>9</v>
      </c>
      <c r="E7" s="254"/>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250" t="s">
        <v>197</v>
      </c>
      <c r="C3" s="250"/>
      <c r="D3" s="250"/>
      <c r="E3" s="250"/>
      <c r="F3" s="250"/>
      <c r="G3" s="250"/>
    </row>
    <row r="5" spans="2:7">
      <c r="B5" s="250" t="s">
        <v>193</v>
      </c>
      <c r="C5" s="250"/>
      <c r="D5" s="250"/>
      <c r="E5" s="250" t="s">
        <v>194</v>
      </c>
      <c r="F5" s="250"/>
      <c r="G5" s="250"/>
    </row>
    <row r="6" spans="2:7">
      <c r="B6" s="100" t="s">
        <v>195</v>
      </c>
      <c r="C6" s="100" t="s">
        <v>196</v>
      </c>
      <c r="D6" s="100" t="s">
        <v>142</v>
      </c>
      <c r="E6" s="100" t="s">
        <v>40</v>
      </c>
      <c r="F6" s="100" t="s">
        <v>96</v>
      </c>
      <c r="G6" s="100" t="s">
        <v>44</v>
      </c>
    </row>
    <row r="8" spans="2:7">
      <c r="F8" s="100">
        <v>105</v>
      </c>
    </row>
    <row r="13" spans="2:7">
      <c r="B13" s="250" t="s">
        <v>198</v>
      </c>
      <c r="C13" s="250"/>
      <c r="D13" s="250"/>
      <c r="E13" s="250"/>
      <c r="F13" s="250"/>
      <c r="G13" s="250"/>
    </row>
    <row r="15" spans="2:7">
      <c r="B15" s="250" t="s">
        <v>193</v>
      </c>
      <c r="C15" s="250"/>
      <c r="D15" s="250"/>
      <c r="E15" s="250" t="s">
        <v>194</v>
      </c>
      <c r="F15" s="250"/>
      <c r="G15" s="250"/>
    </row>
    <row r="16" spans="2:7">
      <c r="B16" s="100" t="s">
        <v>195</v>
      </c>
      <c r="C16" s="100" t="s">
        <v>196</v>
      </c>
      <c r="D16" s="100" t="s">
        <v>142</v>
      </c>
      <c r="E16" s="100" t="s">
        <v>40</v>
      </c>
      <c r="F16" s="100" t="s">
        <v>96</v>
      </c>
      <c r="G16" s="100" t="s">
        <v>44</v>
      </c>
    </row>
    <row r="18" spans="1:7">
      <c r="B18" s="105">
        <f>SIN(E18)*(C18/SIN(F18))</f>
        <v>10.190191072472366</v>
      </c>
      <c r="C18" s="104">
        <v>50</v>
      </c>
      <c r="D18" s="105">
        <f>SIN(G18)*(C18/SIN(F18))</f>
        <v>10.190191072472366</v>
      </c>
      <c r="E18" s="105">
        <f>(180-F18)/2</f>
        <v>37.5</v>
      </c>
      <c r="F18" s="104">
        <v>105</v>
      </c>
      <c r="G18" s="105">
        <f>E18</f>
        <v>37.5</v>
      </c>
    </row>
    <row r="20" spans="1:7">
      <c r="A20" s="100" t="s">
        <v>199</v>
      </c>
    </row>
    <row r="21" spans="1:7">
      <c r="A21" s="100" t="s">
        <v>201</v>
      </c>
    </row>
    <row r="22" spans="1:7">
      <c r="A22" s="100" t="s">
        <v>200</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202</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204</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206</v>
      </c>
      <c r="D12" s="112" t="s">
        <v>207</v>
      </c>
      <c r="E12" s="113" t="s">
        <v>45</v>
      </c>
      <c r="F12" s="123"/>
      <c r="G12" s="108"/>
      <c r="H12" s="106" t="s">
        <v>210</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205</v>
      </c>
      <c r="F18" s="123"/>
      <c r="G18" s="108"/>
      <c r="J18" s="114">
        <v>130</v>
      </c>
      <c r="K18" s="114">
        <v>50</v>
      </c>
      <c r="L18" s="114"/>
      <c r="M18" s="114"/>
      <c r="N18" s="114"/>
    </row>
    <row r="19" spans="1:14" ht="15" thickBot="1">
      <c r="A19" s="107"/>
      <c r="B19" s="120"/>
      <c r="C19" s="109" t="s">
        <v>208</v>
      </c>
      <c r="D19" s="109" t="s">
        <v>209</v>
      </c>
      <c r="E19" s="109" t="s">
        <v>209</v>
      </c>
      <c r="F19" s="121"/>
      <c r="G19" s="108"/>
      <c r="J19" s="106">
        <v>143</v>
      </c>
      <c r="K19" s="106">
        <v>55</v>
      </c>
    </row>
    <row r="20" spans="1:14" ht="15" thickBot="1">
      <c r="A20" s="107"/>
      <c r="B20" s="120"/>
      <c r="C20" s="111" t="s">
        <v>206</v>
      </c>
      <c r="D20" s="112" t="s">
        <v>207</v>
      </c>
      <c r="E20" s="113" t="s">
        <v>45</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203</v>
      </c>
    </row>
    <row r="32" spans="1:14">
      <c r="C32" s="106" t="s">
        <v>223</v>
      </c>
      <c r="D32" s="106" t="s">
        <v>224</v>
      </c>
      <c r="E32" s="106" t="s">
        <v>96</v>
      </c>
    </row>
    <row r="33" spans="2:6">
      <c r="B33" s="106" t="s">
        <v>230</v>
      </c>
    </row>
    <row r="34" spans="2:6">
      <c r="B34" s="106" t="s">
        <v>231</v>
      </c>
      <c r="C34" s="143"/>
      <c r="D34" s="143"/>
      <c r="E34" s="143"/>
    </row>
    <row r="37" spans="2:6">
      <c r="B37" s="106" t="s">
        <v>232</v>
      </c>
      <c r="C37" s="143">
        <v>12</v>
      </c>
      <c r="D37" s="143">
        <v>42</v>
      </c>
      <c r="E37" s="143">
        <v>255</v>
      </c>
      <c r="F37" s="142"/>
    </row>
    <row r="38" spans="2:6">
      <c r="B38" s="106" t="s">
        <v>233</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dimension ref="B1:U56"/>
  <sheetViews>
    <sheetView workbookViewId="0">
      <selection activeCell="G53" sqref="G53"/>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K1" s="144" t="s">
        <v>252</v>
      </c>
      <c r="L1" s="144">
        <f>IF(L4&lt;&gt;0,1000, IF(L5&lt;&gt;0,1000000,IF(L6&lt;&gt;0,1000000000,0)))</f>
        <v>1000000000</v>
      </c>
    </row>
    <row r="3" spans="2:20" ht="15" thickBot="1">
      <c r="C3" s="255" t="s">
        <v>234</v>
      </c>
      <c r="D3" s="151" t="s">
        <v>235</v>
      </c>
      <c r="I3" s="170" t="s">
        <v>244</v>
      </c>
      <c r="J3" s="164">
        <f>L3</f>
        <v>19000000000</v>
      </c>
      <c r="K3" s="144" t="s">
        <v>248</v>
      </c>
      <c r="L3" s="175">
        <f>IF(L4&lt;&gt;0,L4*L1,IF(L5&lt;&gt;0,L5*L1,IF(L6&lt;&gt;0,L6*L1,0)))</f>
        <v>19000000000</v>
      </c>
      <c r="N3" s="144" t="s">
        <v>155</v>
      </c>
      <c r="O3" s="150">
        <v>2.5</v>
      </c>
      <c r="P3" s="190">
        <f>P5*1000</f>
        <v>52.631578947368418</v>
      </c>
    </row>
    <row r="4" spans="2:20">
      <c r="C4" s="256"/>
      <c r="D4" s="153" t="s">
        <v>236</v>
      </c>
      <c r="I4" s="170" t="s">
        <v>245</v>
      </c>
      <c r="J4" s="165">
        <f>J3/1000</f>
        <v>19000000</v>
      </c>
      <c r="K4" s="144" t="s">
        <v>249</v>
      </c>
      <c r="L4" s="174"/>
      <c r="N4" s="144" t="s">
        <v>154</v>
      </c>
      <c r="O4" s="149">
        <f>O3/10</f>
        <v>0.25</v>
      </c>
      <c r="P4" s="191">
        <f>P5*100</f>
        <v>5.2631578947368416</v>
      </c>
    </row>
    <row r="5" spans="2:20">
      <c r="I5" s="170" t="s">
        <v>246</v>
      </c>
      <c r="J5" s="166">
        <f>J4/1000</f>
        <v>19000</v>
      </c>
      <c r="K5" s="144" t="s">
        <v>250</v>
      </c>
      <c r="L5" s="172"/>
      <c r="N5" s="144" t="s">
        <v>152</v>
      </c>
      <c r="O5" s="168">
        <f>O4/100</f>
        <v>2.5000000000000001E-3</v>
      </c>
      <c r="P5" s="150">
        <f>M24</f>
        <v>5.2631578947368418E-2</v>
      </c>
    </row>
    <row r="6" spans="2:20">
      <c r="I6" s="170" t="s">
        <v>247</v>
      </c>
      <c r="J6" s="167">
        <f>J5/1000</f>
        <v>19</v>
      </c>
      <c r="K6" s="144" t="s">
        <v>251</v>
      </c>
      <c r="L6" s="173">
        <v>19</v>
      </c>
      <c r="N6" s="144" t="s">
        <v>243</v>
      </c>
      <c r="O6" s="169">
        <f>O5/1000</f>
        <v>2.5000000000000002E-6</v>
      </c>
      <c r="P6" s="189"/>
    </row>
    <row r="7" spans="2:20" ht="15" thickBot="1">
      <c r="C7" s="255" t="s">
        <v>237</v>
      </c>
      <c r="D7" s="151" t="s">
        <v>253</v>
      </c>
    </row>
    <row r="8" spans="2:20">
      <c r="C8" s="256"/>
      <c r="D8" s="153" t="s">
        <v>254</v>
      </c>
    </row>
    <row r="10" spans="2:20">
      <c r="P10" s="144" t="s">
        <v>261</v>
      </c>
      <c r="Q10" s="257" t="s">
        <v>267</v>
      </c>
      <c r="R10" s="258"/>
      <c r="S10" s="258"/>
      <c r="T10" s="259"/>
    </row>
    <row r="11" spans="2:20">
      <c r="C11" s="184" t="s">
        <v>263</v>
      </c>
      <c r="Q11" s="184" t="s">
        <v>268</v>
      </c>
    </row>
    <row r="12" spans="2:20" ht="15" thickBot="1">
      <c r="C12" s="154" t="s">
        <v>241</v>
      </c>
      <c r="D12" s="154" t="s">
        <v>240</v>
      </c>
      <c r="E12" s="154" t="s">
        <v>242</v>
      </c>
      <c r="F12" s="154" t="s">
        <v>152</v>
      </c>
      <c r="J12" s="185" t="s">
        <v>264</v>
      </c>
      <c r="K12" s="146" t="s">
        <v>258</v>
      </c>
      <c r="L12" s="146" t="s">
        <v>259</v>
      </c>
      <c r="M12" s="146" t="s">
        <v>253</v>
      </c>
      <c r="P12" s="146" t="s">
        <v>270</v>
      </c>
      <c r="Q12" s="146" t="s">
        <v>262</v>
      </c>
      <c r="R12" s="185" t="s">
        <v>264</v>
      </c>
    </row>
    <row r="13" spans="2:20" ht="15" thickBot="1">
      <c r="B13" s="180"/>
      <c r="C13" s="155" t="s">
        <v>265</v>
      </c>
      <c r="D13" s="156" t="s">
        <v>235</v>
      </c>
      <c r="E13" s="156" t="s">
        <v>236</v>
      </c>
      <c r="F13" s="157" t="s">
        <v>239</v>
      </c>
      <c r="G13" s="182"/>
      <c r="I13" s="180"/>
      <c r="J13" s="176" t="s">
        <v>266</v>
      </c>
      <c r="K13" s="177" t="s">
        <v>255</v>
      </c>
      <c r="L13" s="177" t="s">
        <v>256</v>
      </c>
      <c r="M13" s="178" t="s">
        <v>257</v>
      </c>
      <c r="N13" s="182"/>
      <c r="O13" s="180"/>
      <c r="P13" s="176" t="s">
        <v>238</v>
      </c>
      <c r="Q13" s="177" t="s">
        <v>269</v>
      </c>
      <c r="R13" s="178" t="s">
        <v>260</v>
      </c>
      <c r="S13" s="182"/>
    </row>
    <row r="14" spans="2:20">
      <c r="C14" s="153"/>
      <c r="D14" s="153"/>
      <c r="E14" s="153"/>
      <c r="F14" s="153"/>
      <c r="J14" s="145"/>
      <c r="K14" s="145"/>
      <c r="L14" s="145"/>
      <c r="M14" s="145"/>
      <c r="P14" s="145"/>
      <c r="Q14" s="145"/>
      <c r="R14" s="145"/>
    </row>
    <row r="15" spans="2:20">
      <c r="C15" s="158">
        <f>D15/E15</f>
        <v>1600</v>
      </c>
      <c r="D15" s="159">
        <v>800</v>
      </c>
      <c r="E15" s="159">
        <v>0.5</v>
      </c>
      <c r="F15" s="160"/>
      <c r="J15" s="183">
        <f>M15/K15</f>
        <v>11.487500000000001</v>
      </c>
      <c r="K15" s="150">
        <v>10</v>
      </c>
      <c r="L15" s="150">
        <v>124.875</v>
      </c>
      <c r="M15" s="144">
        <f>L15-K15</f>
        <v>114.875</v>
      </c>
      <c r="P15" s="186">
        <f>Q15*R15</f>
        <v>0</v>
      </c>
      <c r="Q15" s="150">
        <v>19000000000</v>
      </c>
      <c r="R15" s="150"/>
    </row>
    <row r="16" spans="2:20">
      <c r="C16" s="158">
        <f>D16/E16</f>
        <v>101859.16357881301</v>
      </c>
      <c r="D16" s="159">
        <v>200</v>
      </c>
      <c r="E16" s="160">
        <f>PI()*(F16^2)</f>
        <v>1.9634954084936209E-3</v>
      </c>
      <c r="F16" s="159">
        <v>2.5000000000000001E-2</v>
      </c>
      <c r="K16" s="150"/>
      <c r="L16" s="144">
        <f>K16+M16</f>
        <v>0</v>
      </c>
      <c r="M16" s="150"/>
    </row>
    <row r="17" spans="3:18">
      <c r="C17" s="160"/>
      <c r="D17" s="160"/>
      <c r="E17" s="160"/>
      <c r="F17" s="160"/>
      <c r="K17" s="144">
        <f>L17-M17</f>
        <v>0</v>
      </c>
      <c r="L17" s="150"/>
      <c r="M17" s="150"/>
      <c r="P17" s="150"/>
      <c r="Q17" s="187" t="e">
        <f>P17/R17</f>
        <v>#DIV/0!</v>
      </c>
      <c r="R17" s="150"/>
    </row>
    <row r="18" spans="3:18">
      <c r="C18" s="159"/>
      <c r="D18" s="161"/>
      <c r="E18" s="159"/>
      <c r="F18" s="160"/>
      <c r="K18" s="149"/>
    </row>
    <row r="19" spans="3:18">
      <c r="C19" s="160"/>
      <c r="D19" s="161"/>
      <c r="E19" s="159"/>
      <c r="F19" s="159"/>
      <c r="P19" s="150">
        <v>-100000000</v>
      </c>
      <c r="Q19" s="150">
        <f>Q15</f>
        <v>19000000000</v>
      </c>
      <c r="R19" s="188">
        <f>P19/Q19</f>
        <v>-5.263157894736842E-3</v>
      </c>
    </row>
    <row r="20" spans="3:18">
      <c r="C20" s="160"/>
      <c r="D20" s="160"/>
      <c r="E20" s="160"/>
      <c r="F20" s="160"/>
    </row>
    <row r="21" spans="3:18">
      <c r="C21" s="159"/>
      <c r="D21" s="159"/>
      <c r="E21" s="162"/>
      <c r="F21" s="160"/>
      <c r="L21" s="171"/>
    </row>
    <row r="22" spans="3:18">
      <c r="C22" s="160"/>
      <c r="D22" s="159"/>
      <c r="E22" s="162"/>
      <c r="F22" s="159"/>
    </row>
    <row r="23" spans="3:18">
      <c r="C23" s="160"/>
      <c r="D23" s="160"/>
      <c r="E23" s="160"/>
      <c r="F23" s="160"/>
    </row>
    <row r="24" spans="3:18">
      <c r="C24" s="159"/>
      <c r="D24" s="159"/>
      <c r="E24" s="160"/>
      <c r="F24" s="163"/>
      <c r="J24" s="150">
        <f>R19*-1</f>
        <v>5.263157894736842E-3</v>
      </c>
      <c r="K24" s="150">
        <v>10</v>
      </c>
      <c r="L24" s="144">
        <f>K24+M24</f>
        <v>10.052631578947368</v>
      </c>
      <c r="M24" s="179">
        <f>J24*K24</f>
        <v>5.2631578947368418E-2</v>
      </c>
    </row>
    <row r="25" spans="3:18">
      <c r="C25" s="160"/>
      <c r="D25" s="159"/>
      <c r="E25" s="159"/>
      <c r="F25" s="163"/>
    </row>
    <row r="26" spans="3:18">
      <c r="C26" s="160"/>
      <c r="D26" s="160"/>
      <c r="E26" s="160"/>
      <c r="F26" s="160"/>
    </row>
    <row r="27" spans="3:18">
      <c r="C27" s="160"/>
      <c r="D27" s="160"/>
      <c r="E27" s="160"/>
      <c r="F27" s="160"/>
    </row>
    <row r="28" spans="3:18">
      <c r="C28" s="160"/>
      <c r="D28" s="160"/>
      <c r="E28" s="160"/>
      <c r="F28" s="160"/>
    </row>
    <row r="29" spans="3:18" ht="15" thickBot="1">
      <c r="C29" s="195" t="s">
        <v>273</v>
      </c>
      <c r="D29" s="160"/>
      <c r="E29" s="160"/>
      <c r="F29" s="160"/>
      <c r="J29" s="146"/>
      <c r="K29" s="146"/>
      <c r="L29" s="146"/>
      <c r="M29" s="146"/>
      <c r="N29" s="146"/>
      <c r="O29" s="146"/>
    </row>
    <row r="30" spans="3:18" ht="15" thickBot="1">
      <c r="C30" s="152" t="s">
        <v>271</v>
      </c>
      <c r="D30" s="194" t="s">
        <v>272</v>
      </c>
      <c r="I30" s="180"/>
      <c r="J30" s="196" t="s">
        <v>280</v>
      </c>
      <c r="K30" s="197" t="s">
        <v>282</v>
      </c>
      <c r="L30" s="197" t="s">
        <v>281</v>
      </c>
      <c r="M30" s="200" t="s">
        <v>279</v>
      </c>
      <c r="N30" s="198" t="s">
        <v>283</v>
      </c>
      <c r="O30" s="204" t="s">
        <v>262</v>
      </c>
      <c r="P30" s="182"/>
    </row>
    <row r="31" spans="3:18">
      <c r="C31" s="192"/>
      <c r="J31" s="145"/>
      <c r="K31" s="145"/>
      <c r="L31" s="145"/>
      <c r="M31" s="145"/>
      <c r="N31" s="145"/>
      <c r="O31" s="145"/>
    </row>
    <row r="32" spans="3:18" ht="15" thickBot="1">
      <c r="C32" s="260" t="s">
        <v>274</v>
      </c>
      <c r="D32" s="262" t="s">
        <v>275</v>
      </c>
      <c r="E32" s="263"/>
      <c r="J32" s="199">
        <f>(-K32)/L32</f>
        <v>0</v>
      </c>
      <c r="K32" s="172"/>
      <c r="L32" s="172">
        <v>1.5789473684210526E-3</v>
      </c>
    </row>
    <row r="33" spans="3:15">
      <c r="C33" s="261"/>
      <c r="D33" s="264" t="s">
        <v>276</v>
      </c>
      <c r="E33" s="265"/>
    </row>
    <row r="35" spans="3:15" ht="15" thickBot="1">
      <c r="C35" s="260" t="s">
        <v>274</v>
      </c>
      <c r="D35" s="207" t="s">
        <v>289</v>
      </c>
      <c r="E35" s="266" t="s">
        <v>277</v>
      </c>
      <c r="F35" s="208" t="s">
        <v>290</v>
      </c>
    </row>
    <row r="36" spans="3:15">
      <c r="C36" s="261"/>
      <c r="D36" s="153" t="s">
        <v>278</v>
      </c>
      <c r="E36" s="267"/>
      <c r="F36" s="153" t="s">
        <v>279</v>
      </c>
      <c r="J36" s="172">
        <v>0.15</v>
      </c>
      <c r="K36" s="209">
        <f>(L36*J36)*-1</f>
        <v>7.894736842105263E-4</v>
      </c>
      <c r="L36" s="144">
        <v>-5.263157894736842E-3</v>
      </c>
    </row>
    <row r="39" spans="3:15" ht="15" thickBot="1">
      <c r="C39" s="260" t="s">
        <v>284</v>
      </c>
      <c r="D39" s="202" t="s">
        <v>283</v>
      </c>
    </row>
    <row r="40" spans="3:15">
      <c r="C40" s="261"/>
      <c r="D40" s="153" t="s">
        <v>262</v>
      </c>
      <c r="J40" s="172"/>
      <c r="L40" s="206">
        <f>N40/O40</f>
        <v>4.7619047619047619E-4</v>
      </c>
      <c r="N40" s="172">
        <v>100000000</v>
      </c>
      <c r="O40" s="172">
        <v>210000000000</v>
      </c>
    </row>
    <row r="43" spans="3:15" ht="15" thickBot="1">
      <c r="D43" s="255" t="s">
        <v>285</v>
      </c>
      <c r="E43" s="255" t="s">
        <v>286</v>
      </c>
      <c r="F43" s="201" t="s">
        <v>287</v>
      </c>
    </row>
    <row r="44" spans="3:15">
      <c r="D44" s="256"/>
      <c r="E44" s="256"/>
      <c r="F44" s="153"/>
      <c r="M44" s="205"/>
    </row>
    <row r="48" spans="3:15">
      <c r="N48" s="203"/>
    </row>
    <row r="56" spans="21:21">
      <c r="U56" s="144" t="s">
        <v>288</v>
      </c>
    </row>
  </sheetData>
  <mergeCells count="11">
    <mergeCell ref="C35:C36"/>
    <mergeCell ref="E35:E36"/>
    <mergeCell ref="C39:C40"/>
    <mergeCell ref="D43:D44"/>
    <mergeCell ref="E43:E44"/>
    <mergeCell ref="C3:C4"/>
    <mergeCell ref="C7:C8"/>
    <mergeCell ref="Q10:T10"/>
    <mergeCell ref="C32:C33"/>
    <mergeCell ref="D32:E32"/>
    <mergeCell ref="D33:E33"/>
  </mergeCells>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U65"/>
  <sheetViews>
    <sheetView workbookViewId="0">
      <selection activeCell="K57" sqref="K57"/>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G1" s="180"/>
      <c r="H1" s="210"/>
      <c r="I1" s="211"/>
      <c r="J1" s="211"/>
      <c r="K1" s="211" t="s">
        <v>252</v>
      </c>
      <c r="L1" s="211">
        <f>IF(L4&lt;&gt;0,1000, IF(L5&lt;&gt;0,1000000,IF(L6&lt;&gt;0,1000000000,0)))</f>
        <v>1000000000</v>
      </c>
      <c r="M1" s="211"/>
      <c r="N1" s="211"/>
      <c r="O1" s="211"/>
      <c r="P1" s="211"/>
      <c r="Q1" s="212"/>
      <c r="R1" s="182"/>
    </row>
    <row r="2" spans="2:20">
      <c r="G2" s="180"/>
      <c r="H2" s="213"/>
      <c r="Q2" s="214"/>
      <c r="R2" s="182"/>
    </row>
    <row r="3" spans="2:20" ht="15" thickBot="1">
      <c r="C3" s="260" t="s">
        <v>292</v>
      </c>
      <c r="D3" s="151" t="s">
        <v>235</v>
      </c>
      <c r="G3" s="180"/>
      <c r="H3" s="213"/>
      <c r="I3" s="170" t="s">
        <v>244</v>
      </c>
      <c r="J3" s="164">
        <f>L3</f>
        <v>19000000000</v>
      </c>
      <c r="K3" s="144" t="s">
        <v>248</v>
      </c>
      <c r="L3" s="175">
        <f>IF(L4&lt;&gt;0,L4*L1,IF(L5&lt;&gt;0,L5*L1,IF(L6&lt;&gt;0,L6*L1,0)))</f>
        <v>19000000000</v>
      </c>
      <c r="N3" s="144" t="s">
        <v>155</v>
      </c>
      <c r="O3" s="150">
        <v>25</v>
      </c>
      <c r="P3" s="190">
        <f>P5*1000</f>
        <v>2.2300000000000004</v>
      </c>
      <c r="Q3" s="214"/>
      <c r="R3" s="182"/>
    </row>
    <row r="4" spans="2:20">
      <c r="C4" s="261"/>
      <c r="D4" s="153" t="s">
        <v>236</v>
      </c>
      <c r="G4" s="180"/>
      <c r="H4" s="213"/>
      <c r="I4" s="170" t="s">
        <v>245</v>
      </c>
      <c r="J4" s="165">
        <f>J3/1000</f>
        <v>19000000</v>
      </c>
      <c r="K4" s="144" t="s">
        <v>249</v>
      </c>
      <c r="L4" s="174"/>
      <c r="M4" s="144" t="s">
        <v>294</v>
      </c>
      <c r="N4" s="144" t="s">
        <v>154</v>
      </c>
      <c r="O4" s="149">
        <f>O3/10</f>
        <v>2.5</v>
      </c>
      <c r="P4" s="191">
        <f>P5*100</f>
        <v>0.22300000000000003</v>
      </c>
      <c r="Q4" s="214"/>
      <c r="R4" s="182"/>
    </row>
    <row r="5" spans="2:20">
      <c r="C5" s="193"/>
      <c r="G5" s="180"/>
      <c r="H5" s="213"/>
      <c r="I5" s="170" t="s">
        <v>246</v>
      </c>
      <c r="J5" s="166">
        <f>J4/1000</f>
        <v>19000</v>
      </c>
      <c r="K5" s="144" t="s">
        <v>250</v>
      </c>
      <c r="L5" s="172"/>
      <c r="M5" s="144" t="s">
        <v>295</v>
      </c>
      <c r="N5" s="144" t="s">
        <v>152</v>
      </c>
      <c r="O5" s="168">
        <f>O4/100</f>
        <v>2.5000000000000001E-2</v>
      </c>
      <c r="P5" s="150">
        <f>2.23*10^-3</f>
        <v>2.2300000000000002E-3</v>
      </c>
      <c r="Q5" s="214"/>
      <c r="R5" s="182"/>
    </row>
    <row r="6" spans="2:20">
      <c r="C6" s="193"/>
      <c r="G6" s="180"/>
      <c r="H6" s="213"/>
      <c r="I6" s="170" t="s">
        <v>247</v>
      </c>
      <c r="J6" s="167">
        <f>J5/1000</f>
        <v>19</v>
      </c>
      <c r="K6" s="144" t="s">
        <v>251</v>
      </c>
      <c r="L6" s="173">
        <v>19</v>
      </c>
      <c r="M6" s="144" t="s">
        <v>296</v>
      </c>
      <c r="N6" s="144" t="s">
        <v>243</v>
      </c>
      <c r="O6" s="169">
        <f>O5/1000</f>
        <v>2.5000000000000001E-5</v>
      </c>
      <c r="P6" s="189"/>
      <c r="Q6" s="214"/>
      <c r="R6" s="182"/>
    </row>
    <row r="7" spans="2:20" ht="15" thickBot="1">
      <c r="C7" s="260" t="s">
        <v>293</v>
      </c>
      <c r="D7" s="151" t="s">
        <v>253</v>
      </c>
      <c r="G7" s="180"/>
      <c r="H7" s="215"/>
      <c r="I7" s="202"/>
      <c r="J7" s="202"/>
      <c r="K7" s="202"/>
      <c r="L7" s="202"/>
      <c r="M7" s="202"/>
      <c r="N7" s="202"/>
      <c r="O7" s="202"/>
      <c r="P7" s="202"/>
      <c r="Q7" s="216"/>
      <c r="R7" s="182"/>
    </row>
    <row r="8" spans="2:20">
      <c r="C8" s="261"/>
      <c r="D8" s="153" t="s">
        <v>254</v>
      </c>
      <c r="H8" s="145"/>
      <c r="I8" s="145"/>
      <c r="J8" s="145"/>
      <c r="K8" s="145"/>
      <c r="L8" s="145"/>
      <c r="M8" s="145"/>
      <c r="N8" s="145"/>
      <c r="O8" s="145"/>
      <c r="P8" s="145"/>
      <c r="Q8" s="145"/>
    </row>
    <row r="10" spans="2:20">
      <c r="Q10" s="180"/>
      <c r="R10" s="181"/>
      <c r="S10" s="181"/>
      <c r="T10" s="182"/>
    </row>
    <row r="11" spans="2:20" ht="15" thickBot="1">
      <c r="B11" s="268" t="s">
        <v>291</v>
      </c>
      <c r="C11" s="269"/>
      <c r="D11" s="201" t="s">
        <v>1</v>
      </c>
      <c r="Q11" s="180"/>
      <c r="R11" s="181"/>
      <c r="S11" s="181"/>
      <c r="T11" s="182"/>
    </row>
    <row r="12" spans="2:20">
      <c r="B12" s="270"/>
      <c r="C12" s="271"/>
      <c r="D12" s="153" t="s">
        <v>40</v>
      </c>
      <c r="Q12" s="180"/>
      <c r="R12" s="181"/>
      <c r="S12" s="181"/>
      <c r="T12" s="182"/>
    </row>
    <row r="14" spans="2:20">
      <c r="Q14" s="180"/>
      <c r="R14" s="181"/>
      <c r="S14" s="181"/>
      <c r="T14" s="182"/>
    </row>
    <row r="15" spans="2:20">
      <c r="Q15" s="180"/>
      <c r="R15" s="181"/>
      <c r="S15" s="181"/>
      <c r="T15" s="182"/>
    </row>
    <row r="16" spans="2:20">
      <c r="Q16" s="180"/>
      <c r="R16" s="181"/>
      <c r="S16" s="181"/>
      <c r="T16" s="182"/>
    </row>
    <row r="17" spans="2:20">
      <c r="Q17" s="180"/>
      <c r="R17" s="181"/>
      <c r="S17" s="181"/>
      <c r="T17" s="182"/>
    </row>
    <row r="18" spans="2:20">
      <c r="Q18" s="180"/>
      <c r="R18" s="181"/>
      <c r="S18" s="181"/>
      <c r="T18" s="182"/>
    </row>
    <row r="19" spans="2:20">
      <c r="P19" s="144" t="s">
        <v>261</v>
      </c>
      <c r="Q19" s="257" t="s">
        <v>267</v>
      </c>
      <c r="R19" s="258"/>
      <c r="S19" s="258"/>
      <c r="T19" s="259"/>
    </row>
    <row r="20" spans="2:20">
      <c r="C20" s="184" t="s">
        <v>263</v>
      </c>
      <c r="Q20" s="184" t="s">
        <v>268</v>
      </c>
    </row>
    <row r="21" spans="2:20" ht="15" thickBot="1">
      <c r="C21" s="154" t="s">
        <v>241</v>
      </c>
      <c r="D21" s="154" t="s">
        <v>240</v>
      </c>
      <c r="E21" s="154" t="s">
        <v>242</v>
      </c>
      <c r="F21" s="154" t="s">
        <v>152</v>
      </c>
      <c r="J21" s="185" t="s">
        <v>264</v>
      </c>
      <c r="K21" s="146" t="s">
        <v>258</v>
      </c>
      <c r="L21" s="146" t="s">
        <v>259</v>
      </c>
      <c r="M21" s="146" t="s">
        <v>253</v>
      </c>
      <c r="P21" s="146" t="s">
        <v>270</v>
      </c>
      <c r="Q21" s="146" t="s">
        <v>262</v>
      </c>
      <c r="R21" s="185" t="s">
        <v>264</v>
      </c>
    </row>
    <row r="22" spans="2:20" ht="15" thickBot="1">
      <c r="B22" s="147"/>
      <c r="C22" s="155" t="s">
        <v>265</v>
      </c>
      <c r="D22" s="156" t="s">
        <v>235</v>
      </c>
      <c r="E22" s="156" t="s">
        <v>236</v>
      </c>
      <c r="F22" s="157" t="s">
        <v>239</v>
      </c>
      <c r="G22" s="148"/>
      <c r="I22" s="147"/>
      <c r="J22" s="176" t="s">
        <v>266</v>
      </c>
      <c r="K22" s="177" t="s">
        <v>255</v>
      </c>
      <c r="L22" s="177" t="s">
        <v>256</v>
      </c>
      <c r="M22" s="178" t="s">
        <v>257</v>
      </c>
      <c r="N22" s="148"/>
      <c r="O22" s="147"/>
      <c r="P22" s="176" t="s">
        <v>238</v>
      </c>
      <c r="Q22" s="177" t="s">
        <v>269</v>
      </c>
      <c r="R22" s="178" t="s">
        <v>260</v>
      </c>
      <c r="S22" s="148"/>
    </row>
    <row r="23" spans="2:20">
      <c r="C23" s="153"/>
      <c r="D23" s="153"/>
      <c r="E23" s="153"/>
      <c r="F23" s="153"/>
      <c r="J23" s="145"/>
      <c r="K23" s="145"/>
      <c r="L23" s="145"/>
      <c r="M23" s="145"/>
      <c r="P23" s="145"/>
      <c r="Q23" s="145"/>
      <c r="R23" s="145"/>
    </row>
    <row r="24" spans="2:20">
      <c r="C24" s="158">
        <f>D24/E24</f>
        <v>1600</v>
      </c>
      <c r="D24" s="159">
        <v>800</v>
      </c>
      <c r="E24" s="159">
        <v>0.5</v>
      </c>
      <c r="F24" s="160"/>
      <c r="J24" s="183">
        <f>M24/K24</f>
        <v>11.487500000000001</v>
      </c>
      <c r="K24" s="150">
        <v>10</v>
      </c>
      <c r="L24" s="150">
        <v>124.875</v>
      </c>
      <c r="M24" s="144">
        <f>L24-K24</f>
        <v>114.875</v>
      </c>
      <c r="P24" s="186">
        <f>Q24*R24</f>
        <v>0</v>
      </c>
      <c r="Q24" s="150">
        <v>19000000000</v>
      </c>
      <c r="R24" s="150"/>
    </row>
    <row r="25" spans="2:20">
      <c r="C25" s="158">
        <f>D25/E25</f>
        <v>101859.16357881301</v>
      </c>
      <c r="D25" s="159">
        <v>200</v>
      </c>
      <c r="E25" s="160">
        <f>PI()*(F25^2)</f>
        <v>1.9634954084936209E-3</v>
      </c>
      <c r="F25" s="159">
        <v>2.5000000000000001E-2</v>
      </c>
      <c r="K25" s="150"/>
      <c r="L25" s="144">
        <f>K25+M25</f>
        <v>0</v>
      </c>
      <c r="M25" s="150"/>
    </row>
    <row r="26" spans="2:20">
      <c r="C26" s="160"/>
      <c r="D26" s="160"/>
      <c r="E26" s="160"/>
      <c r="F26" s="160"/>
      <c r="K26" s="144">
        <f>L26-M26</f>
        <v>0</v>
      </c>
      <c r="L26" s="150"/>
      <c r="M26" s="150"/>
      <c r="P26" s="150"/>
      <c r="Q26" s="187" t="e">
        <f>P26/R26</f>
        <v>#DIV/0!</v>
      </c>
      <c r="R26" s="150"/>
    </row>
    <row r="27" spans="2:20">
      <c r="C27" s="159"/>
      <c r="D27" s="161"/>
      <c r="E27" s="159"/>
      <c r="F27" s="160"/>
      <c r="K27" s="149"/>
    </row>
    <row r="28" spans="2:20">
      <c r="C28" s="160"/>
      <c r="D28" s="161"/>
      <c r="E28" s="159"/>
      <c r="F28" s="159"/>
      <c r="P28" s="150">
        <v>-100000000</v>
      </c>
      <c r="Q28" s="150">
        <f>Q24</f>
        <v>19000000000</v>
      </c>
      <c r="R28" s="188">
        <f>P28/Q28</f>
        <v>-5.263157894736842E-3</v>
      </c>
    </row>
    <row r="29" spans="2:20">
      <c r="C29" s="160"/>
      <c r="D29" s="160"/>
      <c r="E29" s="160"/>
      <c r="F29" s="160"/>
    </row>
    <row r="30" spans="2:20">
      <c r="C30" s="159"/>
      <c r="D30" s="159"/>
      <c r="E30" s="162"/>
      <c r="F30" s="160"/>
      <c r="L30" s="171"/>
    </row>
    <row r="31" spans="2:20">
      <c r="C31" s="160"/>
      <c r="D31" s="159"/>
      <c r="E31" s="162"/>
      <c r="F31" s="159"/>
    </row>
    <row r="32" spans="2:20">
      <c r="C32" s="160"/>
      <c r="D32" s="160"/>
      <c r="E32" s="160"/>
      <c r="F32" s="160"/>
    </row>
    <row r="33" spans="3:16">
      <c r="C33" s="159"/>
      <c r="D33" s="159"/>
      <c r="E33" s="160"/>
      <c r="F33" s="163"/>
      <c r="J33" s="150">
        <f>R28*-1</f>
        <v>5.263157894736842E-3</v>
      </c>
      <c r="K33" s="150">
        <v>10</v>
      </c>
      <c r="L33" s="144">
        <f>K33+M33</f>
        <v>10.052631578947368</v>
      </c>
      <c r="M33" s="179">
        <f>J33*K33</f>
        <v>5.2631578947368418E-2</v>
      </c>
    </row>
    <row r="34" spans="3:16">
      <c r="C34" s="160"/>
      <c r="D34" s="159"/>
      <c r="E34" s="159"/>
      <c r="F34" s="163"/>
    </row>
    <row r="35" spans="3:16">
      <c r="C35" s="160"/>
      <c r="D35" s="160"/>
      <c r="E35" s="160"/>
      <c r="F35" s="160"/>
    </row>
    <row r="36" spans="3:16">
      <c r="C36" s="160"/>
      <c r="D36" s="160"/>
      <c r="E36" s="160"/>
      <c r="F36" s="160"/>
    </row>
    <row r="37" spans="3:16">
      <c r="C37" s="160"/>
      <c r="D37" s="160"/>
      <c r="E37" s="160"/>
      <c r="F37" s="160"/>
    </row>
    <row r="38" spans="3:16" ht="15" thickBot="1">
      <c r="C38" s="195" t="s">
        <v>273</v>
      </c>
      <c r="D38" s="160"/>
      <c r="E38" s="160"/>
      <c r="F38" s="160"/>
      <c r="J38" s="146"/>
      <c r="K38" s="146"/>
      <c r="L38" s="146"/>
      <c r="M38" s="146"/>
      <c r="N38" s="146"/>
      <c r="O38" s="146"/>
    </row>
    <row r="39" spans="3:16" ht="15" thickBot="1">
      <c r="C39" s="152" t="s">
        <v>271</v>
      </c>
      <c r="D39" s="194" t="s">
        <v>272</v>
      </c>
      <c r="I39" s="180"/>
      <c r="J39" s="196" t="s">
        <v>280</v>
      </c>
      <c r="K39" s="197" t="s">
        <v>282</v>
      </c>
      <c r="L39" s="197" t="s">
        <v>281</v>
      </c>
      <c r="M39" s="200" t="s">
        <v>279</v>
      </c>
      <c r="N39" s="198" t="s">
        <v>283</v>
      </c>
      <c r="O39" s="204" t="s">
        <v>262</v>
      </c>
      <c r="P39" s="182"/>
    </row>
    <row r="40" spans="3:16">
      <c r="C40" s="192"/>
      <c r="J40" s="145"/>
      <c r="K40" s="145"/>
      <c r="L40" s="145"/>
      <c r="M40" s="145"/>
      <c r="N40" s="145"/>
      <c r="O40" s="145"/>
    </row>
    <row r="41" spans="3:16" ht="15" thickBot="1">
      <c r="C41" s="260" t="s">
        <v>274</v>
      </c>
      <c r="D41" s="262" t="s">
        <v>275</v>
      </c>
      <c r="E41" s="263"/>
      <c r="J41" s="199">
        <f>(-K41)/L41</f>
        <v>0</v>
      </c>
      <c r="K41" s="172"/>
      <c r="L41" s="172">
        <v>1.5789473684210526E-3</v>
      </c>
    </row>
    <row r="42" spans="3:16">
      <c r="C42" s="261"/>
      <c r="D42" s="264" t="s">
        <v>276</v>
      </c>
      <c r="E42" s="265"/>
    </row>
    <row r="44" spans="3:16" ht="15" thickBot="1">
      <c r="C44" s="260" t="s">
        <v>274</v>
      </c>
      <c r="D44" s="207" t="s">
        <v>289</v>
      </c>
      <c r="E44" s="266" t="s">
        <v>277</v>
      </c>
      <c r="F44" s="208" t="s">
        <v>290</v>
      </c>
    </row>
    <row r="45" spans="3:16">
      <c r="C45" s="261"/>
      <c r="D45" s="153" t="s">
        <v>278</v>
      </c>
      <c r="E45" s="267"/>
      <c r="F45" s="153" t="s">
        <v>279</v>
      </c>
      <c r="J45" s="172">
        <v>0.15</v>
      </c>
      <c r="K45" s="209">
        <f>(L45*J45)*-1</f>
        <v>7.894736842105263E-4</v>
      </c>
      <c r="L45" s="144">
        <v>-5.263157894736842E-3</v>
      </c>
    </row>
    <row r="48" spans="3:16" ht="15" thickBot="1">
      <c r="C48" s="260" t="s">
        <v>284</v>
      </c>
      <c r="D48" s="202" t="s">
        <v>283</v>
      </c>
    </row>
    <row r="49" spans="3:15">
      <c r="C49" s="261"/>
      <c r="D49" s="153" t="s">
        <v>262</v>
      </c>
      <c r="J49" s="172"/>
      <c r="L49" s="206">
        <f>N49/O49</f>
        <v>4.7619047619047619E-4</v>
      </c>
      <c r="N49" s="172">
        <v>100000000</v>
      </c>
      <c r="O49" s="172">
        <v>210000000000</v>
      </c>
    </row>
    <row r="52" spans="3:15" ht="15" thickBot="1">
      <c r="D52" s="255" t="s">
        <v>285</v>
      </c>
      <c r="E52" s="255" t="s">
        <v>286</v>
      </c>
      <c r="F52" s="201" t="s">
        <v>287</v>
      </c>
    </row>
    <row r="53" spans="3:15">
      <c r="D53" s="256"/>
      <c r="E53" s="256"/>
      <c r="F53" s="153"/>
      <c r="M53" s="205"/>
    </row>
    <row r="57" spans="3:15">
      <c r="N57" s="203"/>
    </row>
    <row r="65" spans="21:21">
      <c r="U65" s="144" t="s">
        <v>288</v>
      </c>
    </row>
  </sheetData>
  <mergeCells count="12">
    <mergeCell ref="C44:C45"/>
    <mergeCell ref="E44:E45"/>
    <mergeCell ref="C48:C49"/>
    <mergeCell ref="D52:D53"/>
    <mergeCell ref="E52:E53"/>
    <mergeCell ref="C7:C8"/>
    <mergeCell ref="C3:C4"/>
    <mergeCell ref="Q19:T19"/>
    <mergeCell ref="C41:C42"/>
    <mergeCell ref="D41:E41"/>
    <mergeCell ref="D42:E42"/>
    <mergeCell ref="B11:C12"/>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sheetPr>
    <tabColor rgb="FFFF0000"/>
  </sheetPr>
  <dimension ref="A1:BB155"/>
  <sheetViews>
    <sheetView zoomScaleNormal="100" workbookViewId="0">
      <selection activeCell="I53" sqref="I53"/>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45</v>
      </c>
      <c r="K1" s="55"/>
      <c r="L1" s="55" t="s">
        <v>40</v>
      </c>
      <c r="M1" s="55"/>
      <c r="N1" s="55" t="s">
        <v>18</v>
      </c>
      <c r="O1" s="55"/>
      <c r="P1" s="55" t="s">
        <v>46</v>
      </c>
      <c r="Q1" s="44"/>
      <c r="R1" s="44"/>
      <c r="S1" s="44"/>
      <c r="T1" s="44"/>
      <c r="U1" s="44"/>
      <c r="V1" s="44"/>
      <c r="W1" s="44"/>
      <c r="X1" s="44"/>
      <c r="Y1" s="44"/>
      <c r="Z1" s="44"/>
      <c r="AA1" s="44"/>
      <c r="AB1" s="44"/>
      <c r="AC1" s="44"/>
      <c r="AD1" s="44"/>
    </row>
    <row r="2" spans="2:30">
      <c r="B2" s="47" t="s">
        <v>59</v>
      </c>
      <c r="D2" s="48" t="s">
        <v>60</v>
      </c>
      <c r="F2" s="49" t="s">
        <v>61</v>
      </c>
      <c r="H2" s="50" t="s">
        <v>65</v>
      </c>
      <c r="I2" s="44"/>
      <c r="J2" s="55" t="s">
        <v>62</v>
      </c>
      <c r="K2" s="55"/>
      <c r="L2" s="55" t="s">
        <v>63</v>
      </c>
      <c r="M2" s="55"/>
      <c r="N2" s="55" t="s">
        <v>19</v>
      </c>
      <c r="O2" s="55"/>
      <c r="P2" s="55" t="s">
        <v>64</v>
      </c>
      <c r="Q2" s="44"/>
      <c r="R2" s="44"/>
      <c r="S2" s="44"/>
      <c r="T2" s="44"/>
      <c r="U2" s="44"/>
      <c r="V2" s="44"/>
      <c r="W2" s="44"/>
      <c r="X2" s="44"/>
      <c r="Y2" s="44"/>
      <c r="Z2" s="44"/>
      <c r="AA2" s="44"/>
      <c r="AB2" s="44"/>
      <c r="AC2" s="44"/>
      <c r="AD2" s="44"/>
    </row>
    <row r="3" spans="2:30">
      <c r="B3" s="47" t="s">
        <v>71</v>
      </c>
      <c r="D3" s="48" t="s">
        <v>69</v>
      </c>
      <c r="F3" s="49" t="s">
        <v>70</v>
      </c>
      <c r="H3" s="50" t="s">
        <v>67</v>
      </c>
      <c r="I3" s="44"/>
      <c r="J3" s="44"/>
      <c r="K3" s="44"/>
      <c r="L3" s="44"/>
      <c r="M3" s="44"/>
      <c r="N3" s="44"/>
      <c r="O3" s="44"/>
      <c r="P3" s="44"/>
      <c r="Q3" s="44"/>
      <c r="R3" s="44"/>
      <c r="S3" s="44"/>
      <c r="T3" s="44"/>
      <c r="U3" s="44"/>
      <c r="V3" s="44"/>
      <c r="W3" s="44"/>
      <c r="X3" s="44"/>
      <c r="Y3" s="44"/>
      <c r="Z3" s="44"/>
      <c r="AA3" s="44"/>
      <c r="AB3" s="44"/>
      <c r="AC3" s="44"/>
      <c r="AD3" s="44"/>
    </row>
    <row r="4" spans="2:30">
      <c r="B4" s="47" t="s">
        <v>73</v>
      </c>
      <c r="D4" s="48" t="s">
        <v>74</v>
      </c>
      <c r="F4" s="49" t="s">
        <v>72</v>
      </c>
      <c r="H4" s="50" t="s">
        <v>66</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45</v>
      </c>
      <c r="C6" s="55"/>
      <c r="D6" s="55" t="s">
        <v>40</v>
      </c>
      <c r="E6" s="55"/>
      <c r="F6" s="55" t="s">
        <v>18</v>
      </c>
      <c r="G6" s="55"/>
      <c r="H6" s="55" t="s">
        <v>46</v>
      </c>
      <c r="I6" s="44"/>
      <c r="J6" s="44"/>
      <c r="K6" s="44"/>
      <c r="L6" s="44"/>
      <c r="M6" s="44"/>
      <c r="N6" s="44"/>
      <c r="O6" s="44"/>
      <c r="P6" s="44"/>
      <c r="Q6" s="44"/>
      <c r="R6" s="44"/>
      <c r="S6" s="44"/>
      <c r="T6" s="44"/>
      <c r="U6" s="44"/>
      <c r="V6" s="44"/>
      <c r="W6" s="44"/>
      <c r="X6" s="44"/>
      <c r="Y6" s="44"/>
      <c r="Z6" s="44"/>
      <c r="AA6" s="44"/>
      <c r="AB6" s="44"/>
      <c r="AC6" s="44"/>
      <c r="AD6" s="44"/>
    </row>
    <row r="7" spans="2:30">
      <c r="B7" s="55" t="s">
        <v>62</v>
      </c>
      <c r="C7" s="55"/>
      <c r="D7" s="55" t="s">
        <v>63</v>
      </c>
      <c r="E7" s="55"/>
      <c r="F7" s="55" t="s">
        <v>19</v>
      </c>
      <c r="G7" s="55"/>
      <c r="H7" s="55" t="s">
        <v>64</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31</v>
      </c>
      <c r="K9" s="52" t="s">
        <v>68</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122</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63</v>
      </c>
      <c r="C26" s="59"/>
      <c r="D26" s="59" t="s">
        <v>123</v>
      </c>
      <c r="E26" s="59"/>
      <c r="F26" s="59" t="s">
        <v>124</v>
      </c>
      <c r="G26" s="59"/>
      <c r="H26" s="59" t="s">
        <v>126</v>
      </c>
      <c r="I26" s="59" t="s">
        <v>125</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47" t="s">
        <v>134</v>
      </c>
      <c r="C2" s="247"/>
      <c r="D2" s="247"/>
      <c r="E2" s="247"/>
      <c r="F2" s="247"/>
      <c r="G2" s="247"/>
      <c r="H2" s="247"/>
    </row>
    <row r="3" spans="2:18">
      <c r="B3" s="247"/>
      <c r="C3" s="247"/>
      <c r="D3" s="247"/>
      <c r="E3" s="247"/>
      <c r="F3" s="247"/>
      <c r="G3" s="247"/>
      <c r="H3" s="247"/>
    </row>
    <row r="4" spans="2:18">
      <c r="B4" s="247"/>
      <c r="C4" s="247"/>
      <c r="D4" s="247"/>
      <c r="E4" s="247"/>
      <c r="F4" s="247"/>
      <c r="G4" s="247"/>
      <c r="H4" s="247"/>
    </row>
    <row r="7" spans="2:18">
      <c r="B7" s="248" t="s">
        <v>135</v>
      </c>
      <c r="C7" s="248"/>
      <c r="D7" s="248"/>
      <c r="E7" s="248"/>
      <c r="G7" s="249" t="s">
        <v>136</v>
      </c>
      <c r="H7" s="249"/>
      <c r="I7" s="249"/>
      <c r="J7" s="62"/>
    </row>
    <row r="8" spans="2:18" ht="18.5">
      <c r="B8" s="248"/>
      <c r="C8" s="248"/>
      <c r="D8" s="248"/>
      <c r="E8" s="248"/>
      <c r="F8" s="63" t="s">
        <v>137</v>
      </c>
      <c r="G8" s="249"/>
      <c r="H8" s="249"/>
      <c r="I8" s="249"/>
      <c r="J8" s="64" t="s">
        <v>138</v>
      </c>
    </row>
    <row r="9" spans="2:18">
      <c r="B9" s="248"/>
      <c r="C9" s="248"/>
      <c r="D9" s="248"/>
      <c r="E9" s="248"/>
      <c r="G9" s="249"/>
      <c r="H9" s="249"/>
      <c r="I9" s="249"/>
      <c r="J9" s="62"/>
    </row>
    <row r="10" spans="2:18">
      <c r="M10" s="250" t="s">
        <v>139</v>
      </c>
      <c r="N10" s="250"/>
      <c r="O10" s="250"/>
      <c r="P10" s="250"/>
    </row>
    <row r="11" spans="2:18">
      <c r="B11" s="246" t="s">
        <v>178</v>
      </c>
      <c r="C11" s="246"/>
      <c r="D11" s="246"/>
      <c r="E11" s="246"/>
      <c r="F11" s="246"/>
      <c r="G11" s="246"/>
      <c r="H11" s="246"/>
      <c r="I11" s="246"/>
      <c r="J11" s="246"/>
      <c r="M11" s="250"/>
      <c r="N11" s="250"/>
      <c r="O11" s="250"/>
      <c r="P11" s="250"/>
    </row>
    <row r="12" spans="2:18">
      <c r="B12" s="246"/>
      <c r="C12" s="246"/>
      <c r="D12" s="246"/>
      <c r="E12" s="246"/>
      <c r="F12" s="246"/>
      <c r="G12" s="246"/>
      <c r="H12" s="246"/>
      <c r="I12" s="246"/>
      <c r="J12" s="246"/>
    </row>
    <row r="13" spans="2:18">
      <c r="O13" s="1" t="s">
        <v>140</v>
      </c>
    </row>
    <row r="15" spans="2:18" ht="42">
      <c r="B15" s="65" t="s">
        <v>141</v>
      </c>
      <c r="C15" s="65"/>
      <c r="D15" s="65" t="s">
        <v>142</v>
      </c>
      <c r="E15" s="65" t="s">
        <v>143</v>
      </c>
      <c r="F15" s="65"/>
      <c r="G15" s="65"/>
      <c r="H15" s="65" t="s">
        <v>144</v>
      </c>
      <c r="I15" s="65" t="s">
        <v>145</v>
      </c>
      <c r="J15" s="65"/>
      <c r="K15" s="65" t="s">
        <v>146</v>
      </c>
      <c r="L15" s="66" t="s">
        <v>147</v>
      </c>
      <c r="M15" s="66" t="s">
        <v>148</v>
      </c>
      <c r="O15" s="1" t="s">
        <v>149</v>
      </c>
      <c r="P15" s="1" t="s">
        <v>150</v>
      </c>
      <c r="R15" s="1" t="s">
        <v>151</v>
      </c>
    </row>
    <row r="18" spans="2:20">
      <c r="B18" s="1">
        <f>D18/E18</f>
        <v>0.69040810179054635</v>
      </c>
      <c r="C18" s="1" t="s">
        <v>152</v>
      </c>
      <c r="D18" s="67" t="str">
        <f>G7</f>
        <v>299792458</v>
      </c>
      <c r="E18" s="32">
        <f>E20*1000000</f>
        <v>434225000</v>
      </c>
      <c r="F18" s="1" t="s">
        <v>153</v>
      </c>
      <c r="H18" s="1">
        <f>B18/2</f>
        <v>0.34520405089527317</v>
      </c>
      <c r="I18" s="68">
        <f>B18/4</f>
        <v>0.17260202544763659</v>
      </c>
      <c r="K18" s="1">
        <v>0.95</v>
      </c>
      <c r="L18" s="1">
        <f>I18*K18</f>
        <v>0.16397192417525475</v>
      </c>
      <c r="M18" s="1">
        <f>(B18*0.28)*K18</f>
        <v>0.18364855507628533</v>
      </c>
    </row>
    <row r="19" spans="2:20">
      <c r="B19" s="1">
        <f>B18*100</f>
        <v>69.040810179054631</v>
      </c>
      <c r="C19" s="1" t="s">
        <v>154</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155</v>
      </c>
      <c r="E20" s="72">
        <v>434.22500000000002</v>
      </c>
      <c r="F20" s="1" t="s">
        <v>156</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152</v>
      </c>
      <c r="D23" s="69" t="str">
        <f>G7</f>
        <v>299792458</v>
      </c>
      <c r="E23" s="1">
        <f>D23/B23</f>
        <v>434225000</v>
      </c>
      <c r="F23" s="1" t="s">
        <v>153</v>
      </c>
      <c r="M23" s="73">
        <v>16.399999999999999</v>
      </c>
      <c r="O23" s="1">
        <v>18.600000000000001</v>
      </c>
      <c r="P23" s="1">
        <f>O23*4</f>
        <v>74.400000000000006</v>
      </c>
      <c r="R23" s="1">
        <f>G7/(P23/100)/1000000</f>
        <v>402.94685215053755</v>
      </c>
    </row>
    <row r="24" spans="2:20">
      <c r="B24" s="74">
        <f>B23*100</f>
        <v>69.040810179054631</v>
      </c>
      <c r="C24" s="1" t="s">
        <v>154</v>
      </c>
      <c r="D24" s="67"/>
    </row>
    <row r="25" spans="2:20">
      <c r="B25" s="74">
        <f>B23*1000</f>
        <v>690.40810179054631</v>
      </c>
      <c r="C25" s="1" t="s">
        <v>155</v>
      </c>
      <c r="D25" s="67"/>
      <c r="E25" s="1">
        <f>E23/1000000</f>
        <v>434.22500000000002</v>
      </c>
      <c r="F25" s="1" t="s">
        <v>156</v>
      </c>
    </row>
    <row r="26" spans="2:20">
      <c r="D26" s="67"/>
    </row>
    <row r="28" spans="2:20">
      <c r="B28" s="246" t="s">
        <v>179</v>
      </c>
      <c r="C28" s="246"/>
      <c r="D28" s="246"/>
      <c r="E28" s="246"/>
      <c r="F28" s="246"/>
      <c r="G28" s="246"/>
      <c r="H28" s="246"/>
      <c r="I28" s="246"/>
      <c r="J28" s="246"/>
      <c r="R28" s="4" t="s">
        <v>192</v>
      </c>
      <c r="S28" s="1">
        <v>0.8</v>
      </c>
      <c r="T28" s="1" t="s">
        <v>155</v>
      </c>
    </row>
    <row r="29" spans="2:20">
      <c r="B29" s="246"/>
      <c r="C29" s="246"/>
      <c r="D29" s="246"/>
      <c r="E29" s="246"/>
      <c r="F29" s="246"/>
      <c r="G29" s="246"/>
      <c r="H29" s="246"/>
      <c r="I29" s="246"/>
      <c r="J29" s="246"/>
      <c r="K29" s="1" t="s">
        <v>186</v>
      </c>
      <c r="N29" s="1" t="s">
        <v>186</v>
      </c>
    </row>
    <row r="30" spans="2:20">
      <c r="J30" s="4" t="s">
        <v>180</v>
      </c>
      <c r="K30" s="1">
        <v>300672</v>
      </c>
      <c r="M30" s="97" t="s">
        <v>185</v>
      </c>
      <c r="N30" s="1">
        <v>75168</v>
      </c>
      <c r="R30" s="4" t="s">
        <v>188</v>
      </c>
      <c r="S30" s="1">
        <f>(K37*3)/10</f>
        <v>38.383659574468084</v>
      </c>
      <c r="T30" s="1" t="s">
        <v>154</v>
      </c>
    </row>
    <row r="32" spans="2:20">
      <c r="B32" s="65" t="s">
        <v>141</v>
      </c>
      <c r="C32" s="65"/>
      <c r="D32" s="65" t="s">
        <v>142</v>
      </c>
      <c r="E32" s="1" t="s">
        <v>143</v>
      </c>
      <c r="H32" s="65" t="s">
        <v>144</v>
      </c>
      <c r="I32" s="65" t="s">
        <v>145</v>
      </c>
      <c r="K32" s="1" t="s">
        <v>181</v>
      </c>
      <c r="M32" s="4" t="s">
        <v>182</v>
      </c>
      <c r="N32" s="31" t="s">
        <v>183</v>
      </c>
    </row>
    <row r="33" spans="2:17">
      <c r="B33" s="90"/>
      <c r="C33" s="90"/>
      <c r="D33" s="90"/>
      <c r="N33" s="1" t="s">
        <v>184</v>
      </c>
      <c r="P33" s="31" t="s">
        <v>191</v>
      </c>
    </row>
    <row r="34" spans="2:17">
      <c r="B34" s="90"/>
      <c r="C34" s="90"/>
      <c r="D34" s="90"/>
    </row>
    <row r="35" spans="2:17">
      <c r="B35" s="90">
        <f>D35/E35</f>
        <v>0.12757125872340425</v>
      </c>
      <c r="C35" s="90" t="s">
        <v>152</v>
      </c>
      <c r="D35" s="69" t="str">
        <f>D40</f>
        <v>299792458</v>
      </c>
      <c r="E35" s="99">
        <f>E37*1000000</f>
        <v>2350000000</v>
      </c>
      <c r="F35" s="1" t="s">
        <v>153</v>
      </c>
    </row>
    <row r="36" spans="2:17">
      <c r="B36" s="90">
        <f>B35*100</f>
        <v>12.757125872340424</v>
      </c>
      <c r="C36" s="90" t="s">
        <v>154</v>
      </c>
      <c r="D36" s="90"/>
    </row>
    <row r="37" spans="2:17">
      <c r="B37" s="90">
        <f>B35*1000</f>
        <v>127.57125872340424</v>
      </c>
      <c r="C37" s="90" t="s">
        <v>155</v>
      </c>
      <c r="D37" s="90"/>
      <c r="E37" s="35">
        <v>2350</v>
      </c>
      <c r="F37" s="1" t="s">
        <v>156</v>
      </c>
      <c r="I37" s="1">
        <f>B37/4</f>
        <v>31.89281468085106</v>
      </c>
      <c r="J37" s="1" t="s">
        <v>155</v>
      </c>
      <c r="K37" s="1">
        <f>K30/E37</f>
        <v>127.94553191489362</v>
      </c>
      <c r="L37" s="31" t="s">
        <v>155</v>
      </c>
      <c r="N37" s="1">
        <f>(1/E37*N30)</f>
        <v>31.986382978723405</v>
      </c>
      <c r="O37" s="31" t="s">
        <v>155</v>
      </c>
      <c r="P37" s="1">
        <f>N37-(S28/2)</f>
        <v>31.586382978723407</v>
      </c>
      <c r="Q37" s="1" t="s">
        <v>155</v>
      </c>
    </row>
    <row r="38" spans="2:17">
      <c r="B38" s="90"/>
      <c r="C38" s="90"/>
      <c r="D38" s="90"/>
    </row>
    <row r="39" spans="2:17">
      <c r="B39" s="90"/>
      <c r="C39" s="90"/>
      <c r="D39" s="90"/>
    </row>
    <row r="40" spans="2:17">
      <c r="B40" s="74">
        <f>B35</f>
        <v>0.12757125872340425</v>
      </c>
      <c r="C40" s="90" t="s">
        <v>152</v>
      </c>
      <c r="D40" s="69" t="str">
        <f>D23</f>
        <v>299792458</v>
      </c>
      <c r="E40" s="90">
        <f>B41*D40</f>
        <v>3824490122.2843299</v>
      </c>
      <c r="F40" s="90" t="s">
        <v>153</v>
      </c>
      <c r="G40" s="1" t="s">
        <v>187</v>
      </c>
    </row>
    <row r="41" spans="2:17">
      <c r="B41" s="74">
        <f>B40*100</f>
        <v>12.757125872340424</v>
      </c>
      <c r="C41" s="90" t="s">
        <v>154</v>
      </c>
      <c r="D41" s="67"/>
      <c r="E41" s="90"/>
      <c r="F41" s="90"/>
    </row>
    <row r="42" spans="2:17">
      <c r="B42" s="74">
        <f>B40*1000</f>
        <v>127.57125872340424</v>
      </c>
      <c r="C42" s="90" t="s">
        <v>155</v>
      </c>
      <c r="D42" s="67"/>
      <c r="E42" s="98">
        <f>E40/1000000</f>
        <v>3824.49012228433</v>
      </c>
      <c r="F42" s="90"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sheetPr>
    <tabColor rgb="FF7030A0"/>
  </sheetPr>
  <dimension ref="A2:O39"/>
  <sheetViews>
    <sheetView workbookViewId="0">
      <selection activeCell="H56" sqref="H56"/>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176</v>
      </c>
    </row>
    <row r="3" spans="2:15">
      <c r="M3" s="92">
        <f>M7*2</f>
        <v>16</v>
      </c>
    </row>
    <row r="4" spans="2:15">
      <c r="C4" s="92"/>
      <c r="D4" s="95"/>
      <c r="E4" s="92"/>
      <c r="F4" s="92"/>
      <c r="G4" s="92"/>
      <c r="H4" s="92"/>
    </row>
    <row r="5" spans="2:15">
      <c r="C5" s="92"/>
      <c r="D5" s="95"/>
      <c r="E5" s="92"/>
      <c r="F5" s="92"/>
      <c r="G5" s="92"/>
      <c r="H5" s="92"/>
      <c r="M5" s="92"/>
      <c r="N5" s="92"/>
    </row>
    <row r="6" spans="2:15">
      <c r="B6" s="91" t="s">
        <v>113</v>
      </c>
      <c r="C6" s="93">
        <v>5</v>
      </c>
      <c r="D6" s="95" t="s">
        <v>114</v>
      </c>
      <c r="E6" s="92"/>
      <c r="F6" s="92"/>
      <c r="G6" s="92"/>
      <c r="H6" s="92"/>
      <c r="M6" s="92" t="s">
        <v>173</v>
      </c>
      <c r="N6" s="92" t="s">
        <v>174</v>
      </c>
      <c r="O6" s="91" t="s">
        <v>177</v>
      </c>
    </row>
    <row r="7" spans="2:15">
      <c r="C7" s="92"/>
      <c r="D7" s="95"/>
      <c r="E7" s="92"/>
      <c r="F7" s="92"/>
      <c r="G7" s="92"/>
      <c r="H7" s="92"/>
      <c r="L7" s="91" t="s">
        <v>172</v>
      </c>
      <c r="M7" s="92">
        <v>8</v>
      </c>
      <c r="N7" s="92">
        <f>M3^2</f>
        <v>256</v>
      </c>
      <c r="O7" s="91">
        <f>(C6-C23)/N7</f>
        <v>1.953125E-2</v>
      </c>
    </row>
    <row r="8" spans="2:15">
      <c r="C8" s="92"/>
      <c r="D8" s="95"/>
      <c r="E8" s="92"/>
      <c r="F8" s="92"/>
      <c r="G8" s="92"/>
      <c r="H8" s="92"/>
      <c r="M8" s="96" t="s">
        <v>175</v>
      </c>
      <c r="N8" s="92"/>
    </row>
    <row r="9" spans="2:15">
      <c r="C9" s="92"/>
      <c r="D9" s="95"/>
      <c r="E9" s="92" t="s">
        <v>115</v>
      </c>
      <c r="F9" s="92">
        <f>F10*1000</f>
        <v>1000</v>
      </c>
      <c r="G9" s="92" t="s">
        <v>30</v>
      </c>
      <c r="H9" s="92"/>
      <c r="M9" s="96" t="str">
        <f>DEC2HEX(M7, 8)</f>
        <v>00000008</v>
      </c>
    </row>
    <row r="10" spans="2:15">
      <c r="C10" s="92"/>
      <c r="D10" s="95"/>
      <c r="E10" s="92"/>
      <c r="F10" s="93">
        <v>1</v>
      </c>
      <c r="G10" s="92" t="s">
        <v>117</v>
      </c>
      <c r="H10" s="92"/>
    </row>
    <row r="11" spans="2:15">
      <c r="C11" s="92"/>
      <c r="D11" s="95"/>
      <c r="E11" s="92"/>
      <c r="F11" s="92"/>
      <c r="G11" s="92"/>
      <c r="H11" s="92"/>
    </row>
    <row r="12" spans="2:15">
      <c r="C12" s="92"/>
      <c r="D12" s="95"/>
      <c r="E12" s="92"/>
      <c r="F12" s="92"/>
      <c r="G12" s="92"/>
      <c r="H12" s="92"/>
    </row>
    <row r="13" spans="2:15">
      <c r="C13" s="92"/>
      <c r="D13" s="95"/>
      <c r="E13" s="92"/>
      <c r="F13" s="92"/>
      <c r="G13" s="92" t="s">
        <v>118</v>
      </c>
      <c r="H13" s="92">
        <f>((C6-C23)*F17)/(F9+F17)</f>
        <v>4.9950049950049946</v>
      </c>
      <c r="I13" s="91" t="s">
        <v>114</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116</v>
      </c>
      <c r="F17" s="92">
        <f>F18*1000</f>
        <v>1000000</v>
      </c>
      <c r="G17" s="92" t="s">
        <v>30</v>
      </c>
      <c r="H17" s="92"/>
    </row>
    <row r="18" spans="2:8">
      <c r="C18" s="92"/>
      <c r="D18" s="95"/>
      <c r="E18" s="92"/>
      <c r="F18" s="94">
        <v>1000</v>
      </c>
      <c r="G18" s="92" t="s">
        <v>117</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113</v>
      </c>
      <c r="C23" s="94">
        <v>0</v>
      </c>
      <c r="D23" s="95" t="s">
        <v>114</v>
      </c>
      <c r="E23" s="92"/>
      <c r="F23" s="92"/>
      <c r="G23" s="92"/>
      <c r="H23" s="92"/>
    </row>
    <row r="24" spans="2:8">
      <c r="C24" s="92"/>
      <c r="D24" s="95"/>
      <c r="E24" s="92"/>
      <c r="F24" s="92"/>
      <c r="G24" s="92"/>
      <c r="H24" s="92"/>
    </row>
    <row r="27" spans="2:8">
      <c r="E27" s="91" t="s">
        <v>120</v>
      </c>
      <c r="F27" s="91">
        <f>(F9/1000)+(F17/1000)</f>
        <v>1001</v>
      </c>
      <c r="G27" s="91" t="s">
        <v>117</v>
      </c>
    </row>
    <row r="29" spans="2:8">
      <c r="E29" s="91" t="s">
        <v>119</v>
      </c>
      <c r="F29" s="91">
        <f>(C6-C23)/F27</f>
        <v>4.995004995004995E-3</v>
      </c>
      <c r="G29" s="91" t="s">
        <v>40</v>
      </c>
    </row>
    <row r="31" spans="2:8">
      <c r="E31" s="91" t="s">
        <v>121</v>
      </c>
    </row>
    <row r="36" spans="1:5">
      <c r="C36" s="92" t="s">
        <v>59</v>
      </c>
    </row>
    <row r="37" spans="1:5">
      <c r="C37" s="92" t="s">
        <v>60</v>
      </c>
    </row>
    <row r="38" spans="1:5">
      <c r="C38" s="92" t="s">
        <v>61</v>
      </c>
      <c r="D38" s="92"/>
      <c r="E38" s="92"/>
    </row>
    <row r="39" spans="1:5">
      <c r="A39" s="92"/>
      <c r="B39" s="92"/>
      <c r="C39" s="92"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sheetPr>
    <tabColor rgb="FFFF00FF"/>
  </sheetPr>
  <dimension ref="A2:T38"/>
  <sheetViews>
    <sheetView workbookViewId="0">
      <selection activeCell="J50" sqref="J5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217</v>
      </c>
      <c r="L2" s="92" t="s">
        <v>221</v>
      </c>
      <c r="O2" s="91" t="s">
        <v>222</v>
      </c>
    </row>
    <row r="3" spans="2:20">
      <c r="M3" s="92"/>
      <c r="O3" s="91" t="s">
        <v>225</v>
      </c>
    </row>
    <row r="4" spans="2:20">
      <c r="C4" s="92"/>
      <c r="D4" s="95"/>
      <c r="E4" s="92" t="s">
        <v>215</v>
      </c>
      <c r="F4" s="92"/>
      <c r="G4" s="95" t="s">
        <v>227</v>
      </c>
      <c r="H4" s="92"/>
      <c r="I4" s="128">
        <v>100</v>
      </c>
      <c r="J4" s="95" t="s">
        <v>218</v>
      </c>
    </row>
    <row r="5" spans="2:20">
      <c r="C5" s="92"/>
      <c r="D5" s="95"/>
      <c r="E5" s="92"/>
      <c r="F5" s="92"/>
      <c r="G5" s="92"/>
      <c r="H5" s="92"/>
      <c r="M5" s="92"/>
      <c r="N5" s="92"/>
      <c r="P5" s="92" t="s">
        <v>215</v>
      </c>
      <c r="Q5" s="91" t="s">
        <v>226</v>
      </c>
      <c r="R5" s="92" t="s">
        <v>228</v>
      </c>
      <c r="S5" s="92" t="s">
        <v>229</v>
      </c>
      <c r="T5" s="92" t="s">
        <v>217</v>
      </c>
    </row>
    <row r="6" spans="2:20" ht="15" thickBot="1">
      <c r="B6" s="91" t="s">
        <v>113</v>
      </c>
      <c r="C6" s="129">
        <v>5</v>
      </c>
      <c r="D6" s="95" t="s">
        <v>114</v>
      </c>
      <c r="E6" s="92"/>
      <c r="F6" s="92"/>
      <c r="G6" s="92"/>
      <c r="H6" s="92"/>
      <c r="I6" s="91" t="s">
        <v>63</v>
      </c>
      <c r="M6" s="92"/>
      <c r="N6" s="92"/>
    </row>
    <row r="7" spans="2:20">
      <c r="C7" s="92"/>
      <c r="D7" s="95"/>
      <c r="E7" s="92"/>
      <c r="F7" s="92"/>
      <c r="G7" s="92"/>
      <c r="H7" s="92"/>
      <c r="L7" s="131"/>
      <c r="M7" s="132"/>
      <c r="N7" s="92"/>
    </row>
    <row r="8" spans="2:20">
      <c r="C8" s="92"/>
      <c r="D8" s="95"/>
      <c r="E8" s="92"/>
      <c r="F8" s="92"/>
      <c r="G8" s="92"/>
      <c r="H8" s="92"/>
      <c r="L8" s="133"/>
      <c r="M8" s="134"/>
    </row>
    <row r="9" spans="2:20">
      <c r="B9" s="91" t="s">
        <v>211</v>
      </c>
      <c r="C9" s="92"/>
      <c r="D9" s="95"/>
      <c r="E9" s="128">
        <v>1.86</v>
      </c>
      <c r="F9" s="95" t="s">
        <v>216</v>
      </c>
      <c r="G9" s="127">
        <f>C6-E9</f>
        <v>3.1399999999999997</v>
      </c>
      <c r="H9" s="95" t="s">
        <v>216</v>
      </c>
      <c r="I9" s="91">
        <f>G9/I4</f>
        <v>3.1399999999999997E-2</v>
      </c>
      <c r="J9" s="91" t="s">
        <v>220</v>
      </c>
      <c r="L9" s="133">
        <f>G9/E28</f>
        <v>174.44444444444443</v>
      </c>
      <c r="M9" s="135" t="s">
        <v>218</v>
      </c>
      <c r="O9" s="139" t="s">
        <v>223</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212</v>
      </c>
      <c r="C12" s="92"/>
      <c r="D12" s="95"/>
      <c r="E12" s="128">
        <v>2.5710000000000002</v>
      </c>
      <c r="F12" s="95" t="s">
        <v>216</v>
      </c>
      <c r="G12" s="127">
        <f>G9-E12</f>
        <v>0.56899999999999951</v>
      </c>
      <c r="H12" s="95" t="s">
        <v>216</v>
      </c>
      <c r="I12" s="91">
        <f>G12/I4</f>
        <v>5.6899999999999954E-3</v>
      </c>
      <c r="J12" s="91" t="s">
        <v>220</v>
      </c>
      <c r="L12" s="133">
        <f>G12/E28</f>
        <v>31.611111111111086</v>
      </c>
      <c r="M12" s="135" t="s">
        <v>218</v>
      </c>
      <c r="O12" s="140" t="s">
        <v>224</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213</v>
      </c>
      <c r="C15" s="92"/>
      <c r="D15" s="95"/>
      <c r="E15" s="128">
        <v>1.7889999999999999</v>
      </c>
      <c r="F15" s="95" t="s">
        <v>216</v>
      </c>
      <c r="G15" s="127">
        <f>G12-E15</f>
        <v>-1.2200000000000004</v>
      </c>
      <c r="H15" s="95" t="s">
        <v>216</v>
      </c>
      <c r="I15" s="91">
        <f>G15/I4</f>
        <v>-1.2200000000000004E-2</v>
      </c>
      <c r="J15" s="91" t="s">
        <v>220</v>
      </c>
      <c r="L15" s="133">
        <f>G15/E28</f>
        <v>-67.7777777777778</v>
      </c>
      <c r="M15" s="135" t="s">
        <v>218</v>
      </c>
      <c r="O15" s="141" t="s">
        <v>96</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214</v>
      </c>
      <c r="C18" s="92"/>
      <c r="D18" s="95"/>
      <c r="E18" s="128">
        <v>2.5379999999999998</v>
      </c>
      <c r="F18" s="95" t="s">
        <v>216</v>
      </c>
      <c r="G18" s="127">
        <f>G15-E18</f>
        <v>-3.758</v>
      </c>
      <c r="H18" s="95" t="s">
        <v>216</v>
      </c>
      <c r="I18" s="91">
        <f>G18/I4</f>
        <v>-3.7580000000000002E-2</v>
      </c>
      <c r="J18" s="91" t="s">
        <v>220</v>
      </c>
      <c r="L18" s="133">
        <f>G18/E28</f>
        <v>-208.7777777777778</v>
      </c>
      <c r="M18" s="135" t="s">
        <v>218</v>
      </c>
    </row>
    <row r="19" spans="2:13">
      <c r="C19" s="92"/>
      <c r="D19" s="95"/>
      <c r="E19" s="92"/>
      <c r="F19" s="92"/>
      <c r="G19" s="92"/>
      <c r="H19" s="92"/>
      <c r="L19" s="133"/>
      <c r="M19" s="135"/>
    </row>
    <row r="20" spans="2:13">
      <c r="B20" s="91" t="s">
        <v>217</v>
      </c>
      <c r="C20" s="92"/>
      <c r="D20" s="95"/>
      <c r="L20" s="133"/>
      <c r="M20" s="135"/>
    </row>
    <row r="21" spans="2:13" ht="15" thickBot="1">
      <c r="C21" s="92"/>
      <c r="D21" s="95"/>
      <c r="E21" s="92"/>
      <c r="F21" s="92"/>
      <c r="G21" s="92"/>
      <c r="H21" s="92"/>
      <c r="L21" s="136"/>
      <c r="M21" s="137"/>
    </row>
    <row r="22" spans="2:13">
      <c r="B22" s="91" t="s">
        <v>113</v>
      </c>
      <c r="C22" s="138">
        <v>0</v>
      </c>
      <c r="D22" s="95" t="s">
        <v>114</v>
      </c>
      <c r="E22" s="92"/>
      <c r="F22" s="92"/>
      <c r="G22" s="92"/>
      <c r="H22" s="92"/>
    </row>
    <row r="23" spans="2:13">
      <c r="C23" s="92"/>
      <c r="D23" s="95"/>
      <c r="E23" s="92"/>
      <c r="F23" s="92"/>
      <c r="G23" s="92"/>
      <c r="H23" s="92"/>
    </row>
    <row r="28" spans="2:13">
      <c r="D28" s="127" t="s">
        <v>219</v>
      </c>
      <c r="E28" s="130">
        <v>1.7999999999999999E-2</v>
      </c>
      <c r="F28" s="91" t="s">
        <v>220</v>
      </c>
    </row>
    <row r="35" spans="1:5">
      <c r="C35" s="92" t="s">
        <v>59</v>
      </c>
    </row>
    <row r="36" spans="1:5">
      <c r="C36" s="92" t="s">
        <v>60</v>
      </c>
    </row>
    <row r="37" spans="1:5">
      <c r="C37" s="92" t="s">
        <v>61</v>
      </c>
      <c r="D37" s="92"/>
      <c r="E37" s="92"/>
    </row>
    <row r="38" spans="1:5">
      <c r="A38" s="92"/>
      <c r="B38" s="92"/>
      <c r="C38" s="92"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sheetPr>
    <tabColor rgb="FFFFFF00"/>
  </sheetPr>
  <dimension ref="A1:L22"/>
  <sheetViews>
    <sheetView topLeftCell="B1" workbookViewId="0">
      <selection activeCell="G48" sqref="G48"/>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251" t="s">
        <v>162</v>
      </c>
      <c r="B1" s="251"/>
      <c r="C1" s="251"/>
      <c r="D1" s="251"/>
      <c r="E1" s="251"/>
      <c r="F1" s="86"/>
      <c r="G1" s="86"/>
      <c r="H1" s="86"/>
      <c r="I1" s="86"/>
    </row>
    <row r="2" spans="1:12" ht="15" customHeight="1">
      <c r="A2" s="251"/>
      <c r="B2" s="251"/>
      <c r="C2" s="251"/>
      <c r="D2" s="251"/>
      <c r="E2" s="251"/>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165</v>
      </c>
      <c r="B6" s="75" t="s">
        <v>163</v>
      </c>
      <c r="C6" s="75" t="s">
        <v>164</v>
      </c>
      <c r="E6" s="75" t="s">
        <v>163</v>
      </c>
      <c r="F6" s="75" t="s">
        <v>164</v>
      </c>
    </row>
    <row r="7" spans="1:12" ht="15.5">
      <c r="A7" s="80" t="s">
        <v>157</v>
      </c>
      <c r="B7" s="80" t="s">
        <v>157</v>
      </c>
      <c r="C7" s="80" t="s">
        <v>157</v>
      </c>
      <c r="D7" s="81" t="s">
        <v>158</v>
      </c>
      <c r="E7" s="83" t="s">
        <v>159</v>
      </c>
      <c r="F7" s="83" t="s">
        <v>159</v>
      </c>
      <c r="G7" s="84" t="s">
        <v>160</v>
      </c>
      <c r="H7" s="83" t="s">
        <v>161</v>
      </c>
      <c r="I7" s="76" t="s">
        <v>166</v>
      </c>
      <c r="J7" s="87" t="s">
        <v>168</v>
      </c>
      <c r="K7" s="78" t="s">
        <v>167</v>
      </c>
      <c r="L7" s="77" t="s">
        <v>169</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251" t="s">
        <v>170</v>
      </c>
      <c r="B13" s="251"/>
      <c r="C13" s="251"/>
      <c r="D13" s="251"/>
      <c r="E13" s="251"/>
    </row>
    <row r="14" spans="1:12">
      <c r="A14" s="251"/>
      <c r="B14" s="251"/>
      <c r="C14" s="251"/>
      <c r="D14" s="251"/>
      <c r="E14" s="251"/>
    </row>
    <row r="19" spans="1:7">
      <c r="A19" s="75" t="s">
        <v>165</v>
      </c>
      <c r="B19" s="75" t="s">
        <v>164</v>
      </c>
      <c r="C19" s="75" t="s">
        <v>63</v>
      </c>
      <c r="E19" s="75" t="s">
        <v>164</v>
      </c>
      <c r="F19" s="75" t="s">
        <v>164</v>
      </c>
      <c r="G19" s="75" t="s">
        <v>165</v>
      </c>
    </row>
    <row r="20" spans="1:7" ht="15.5">
      <c r="A20" s="101" t="s">
        <v>159</v>
      </c>
      <c r="B20" s="83" t="s">
        <v>159</v>
      </c>
      <c r="C20" s="102" t="s">
        <v>159</v>
      </c>
      <c r="E20" s="77" t="s">
        <v>171</v>
      </c>
      <c r="F20" s="77" t="s">
        <v>189</v>
      </c>
      <c r="G20" s="76" t="s">
        <v>190</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31" t="s">
        <v>53</v>
      </c>
    </row>
    <row r="4" spans="1:18">
      <c r="C4" s="1" t="s">
        <v>40</v>
      </c>
      <c r="D4" s="1" t="s">
        <v>45</v>
      </c>
      <c r="G4" s="1" t="s">
        <v>54</v>
      </c>
      <c r="H4" s="1" t="s">
        <v>40</v>
      </c>
      <c r="I4" s="36" t="s">
        <v>45</v>
      </c>
      <c r="K4" s="32" t="s">
        <v>46</v>
      </c>
      <c r="L4" s="33" t="s">
        <v>44</v>
      </c>
      <c r="N4" s="1" t="s">
        <v>44</v>
      </c>
      <c r="O4" s="34" t="s">
        <v>44</v>
      </c>
      <c r="Q4" s="1" t="s">
        <v>44</v>
      </c>
      <c r="R4" s="1" t="s">
        <v>44</v>
      </c>
    </row>
    <row r="5" spans="1:18">
      <c r="A5" s="1" t="s">
        <v>35</v>
      </c>
      <c r="B5" s="1" t="s">
        <v>27</v>
      </c>
      <c r="C5" s="1" t="s">
        <v>38</v>
      </c>
      <c r="D5" s="1" t="s">
        <v>51</v>
      </c>
      <c r="E5" s="1" t="s">
        <v>36</v>
      </c>
      <c r="F5" s="1" t="s">
        <v>37</v>
      </c>
      <c r="G5" s="1" t="s">
        <v>55</v>
      </c>
      <c r="H5" s="1" t="s">
        <v>41</v>
      </c>
      <c r="I5" s="36" t="s">
        <v>52</v>
      </c>
      <c r="K5" s="32" t="s">
        <v>42</v>
      </c>
      <c r="L5" s="33" t="s">
        <v>43</v>
      </c>
      <c r="N5" s="1" t="s">
        <v>47</v>
      </c>
      <c r="O5" s="34" t="s">
        <v>48</v>
      </c>
      <c r="Q5" s="1" t="s">
        <v>49</v>
      </c>
      <c r="R5" s="1" t="s">
        <v>50</v>
      </c>
    </row>
    <row r="8" spans="1:18">
      <c r="A8" s="1" t="s">
        <v>39</v>
      </c>
      <c r="B8" s="1">
        <v>5</v>
      </c>
      <c r="C8" s="1">
        <v>1</v>
      </c>
      <c r="D8" s="1">
        <v>18</v>
      </c>
      <c r="F8" s="1">
        <v>35</v>
      </c>
      <c r="H8" s="1">
        <v>0.1</v>
      </c>
      <c r="I8" s="36">
        <f>D8-B8</f>
        <v>13</v>
      </c>
      <c r="K8" s="32">
        <f>I8*H8</f>
        <v>1.3</v>
      </c>
      <c r="L8" s="33">
        <f>K8*E2</f>
        <v>65</v>
      </c>
      <c r="N8" s="1">
        <v>24</v>
      </c>
      <c r="O8" s="34">
        <f>N8+L8</f>
        <v>89</v>
      </c>
    </row>
    <row r="16" spans="1:18" ht="14.5">
      <c r="B16" s="43"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94</v>
      </c>
      <c r="D9" s="39" t="s">
        <v>81</v>
      </c>
      <c r="J9" s="39" t="s">
        <v>95</v>
      </c>
      <c r="K9" s="39" t="s">
        <v>97</v>
      </c>
    </row>
    <row r="11" spans="1:12">
      <c r="C11" s="36">
        <f>B7-(A7*H7)+(K7*G7)+1</f>
        <v>130.14469200000002</v>
      </c>
    </row>
    <row r="13" spans="1:12" ht="15.5">
      <c r="C13" s="39" t="s">
        <v>98</v>
      </c>
    </row>
    <row r="16" spans="1:12" ht="14.15" customHeight="1">
      <c r="A16" s="252" t="s">
        <v>78</v>
      </c>
      <c r="B16" s="252"/>
      <c r="C16" s="252"/>
      <c r="D16" s="252"/>
    </row>
    <row r="17" spans="1:9" ht="14.15" customHeight="1">
      <c r="A17" s="252"/>
      <c r="B17" s="252"/>
      <c r="C17" s="252"/>
      <c r="D17" s="252"/>
    </row>
    <row r="18" spans="1:9" ht="14.15" customHeight="1">
      <c r="A18" s="252"/>
      <c r="B18" s="252"/>
      <c r="C18" s="252"/>
      <c r="D18" s="252"/>
    </row>
    <row r="19" spans="1:9" ht="14.15" customHeight="1">
      <c r="A19" s="252"/>
      <c r="B19" s="252"/>
      <c r="C19" s="252"/>
      <c r="D19" s="252"/>
    </row>
    <row r="20" spans="1:9" ht="14.15" customHeight="1">
      <c r="A20" s="252"/>
      <c r="B20" s="252"/>
      <c r="C20" s="252"/>
      <c r="D20" s="252"/>
    </row>
    <row r="21" spans="1:9" ht="14.15" customHeight="1">
      <c r="A21" s="252"/>
      <c r="B21" s="252"/>
      <c r="C21" s="252"/>
      <c r="D21" s="252"/>
    </row>
    <row r="22" spans="1:9" ht="14.15" customHeight="1">
      <c r="A22" s="252"/>
      <c r="B22" s="252"/>
      <c r="C22" s="252"/>
      <c r="D22" s="252"/>
    </row>
    <row r="23" spans="1:9" ht="14.15" customHeight="1">
      <c r="A23" s="252"/>
      <c r="B23" s="252"/>
      <c r="C23" s="252"/>
      <c r="D23" s="252"/>
    </row>
    <row r="24" spans="1:9" ht="14.15" customHeight="1">
      <c r="A24" s="252"/>
      <c r="B24" s="252"/>
      <c r="C24" s="252"/>
      <c r="D24" s="252"/>
    </row>
    <row r="25" spans="1:9" ht="14.15" customHeight="1">
      <c r="A25" s="252"/>
      <c r="B25" s="252"/>
      <c r="C25" s="252"/>
      <c r="D25" s="252"/>
    </row>
    <row r="26" spans="1:9" ht="14.15" customHeight="1">
      <c r="A26" s="252"/>
      <c r="B26" s="252"/>
      <c r="C26" s="252"/>
      <c r="D26" s="252"/>
    </row>
    <row r="27" spans="1:9" ht="14.15" customHeight="1">
      <c r="A27" s="252"/>
      <c r="B27" s="252"/>
      <c r="C27" s="252"/>
      <c r="D27" s="252"/>
    </row>
    <row r="28" spans="1:9" ht="15.5">
      <c r="A28" s="252"/>
      <c r="B28" s="252"/>
      <c r="C28" s="252"/>
      <c r="D28" s="252"/>
      <c r="F28" s="39" t="s">
        <v>79</v>
      </c>
      <c r="G28" s="40"/>
      <c r="H28" s="40"/>
      <c r="I28" s="40"/>
    </row>
    <row r="29" spans="1:9" ht="15.5">
      <c r="A29" s="252"/>
      <c r="B29" s="252"/>
      <c r="C29" s="252"/>
      <c r="D29" s="252"/>
      <c r="F29" s="41"/>
      <c r="G29" s="40"/>
      <c r="H29" s="40"/>
      <c r="I29" s="40"/>
    </row>
    <row r="30" spans="1:9" ht="15.5">
      <c r="A30" s="252"/>
      <c r="B30" s="252"/>
      <c r="C30" s="252"/>
      <c r="D30" s="252"/>
      <c r="F30" s="41" t="s">
        <v>80</v>
      </c>
      <c r="G30" s="40"/>
      <c r="H30" s="40"/>
      <c r="I30" s="40"/>
    </row>
    <row r="31" spans="1:9" ht="15.5">
      <c r="A31" s="252"/>
      <c r="B31" s="252"/>
      <c r="C31" s="252"/>
      <c r="D31" s="252"/>
      <c r="F31" s="41"/>
      <c r="G31" s="40"/>
      <c r="H31" s="40"/>
      <c r="I31" s="40"/>
    </row>
    <row r="32" spans="1:9" ht="15.5">
      <c r="A32" s="252"/>
      <c r="B32" s="252"/>
      <c r="C32" s="252"/>
      <c r="D32" s="252"/>
      <c r="F32" s="39" t="s">
        <v>81</v>
      </c>
      <c r="G32" s="40"/>
      <c r="H32" s="40"/>
      <c r="I32" s="40"/>
    </row>
    <row r="33" spans="1:9" ht="15.5">
      <c r="A33" s="252"/>
      <c r="B33" s="252"/>
      <c r="C33" s="252"/>
      <c r="D33" s="252"/>
      <c r="F33" s="41"/>
      <c r="G33" s="40"/>
      <c r="H33" s="40"/>
      <c r="I33" s="40"/>
    </row>
    <row r="34" spans="1:9" ht="15.5">
      <c r="A34" s="252"/>
      <c r="B34" s="252"/>
      <c r="C34" s="252"/>
      <c r="D34" s="252"/>
      <c r="F34" s="39" t="s">
        <v>82</v>
      </c>
      <c r="G34" s="40"/>
      <c r="H34" s="40"/>
      <c r="I34" s="40"/>
    </row>
    <row r="35" spans="1:9" ht="15.5">
      <c r="A35" s="42"/>
      <c r="B35" s="42"/>
      <c r="C35" s="42"/>
      <c r="D35" s="42"/>
      <c r="F35" s="41"/>
      <c r="G35" s="40"/>
      <c r="H35" s="40"/>
      <c r="I35" s="40"/>
    </row>
    <row r="36" spans="1:9" ht="15.5">
      <c r="A36" s="42"/>
      <c r="B36" s="42"/>
      <c r="C36" s="42"/>
      <c r="D36" s="42"/>
      <c r="F36" s="39" t="s">
        <v>83</v>
      </c>
      <c r="G36" s="40"/>
      <c r="H36" s="40"/>
      <c r="I36" s="40"/>
    </row>
    <row r="37" spans="1:9" ht="15.5">
      <c r="A37" s="42"/>
      <c r="B37" s="42"/>
      <c r="C37" s="42"/>
      <c r="D37" s="42"/>
      <c r="F37" s="41"/>
      <c r="G37" s="40"/>
      <c r="H37" s="40"/>
      <c r="I37" s="40"/>
    </row>
    <row r="38" spans="1:9" ht="15.5">
      <c r="A38" s="42"/>
      <c r="B38" s="42"/>
      <c r="C38" s="42"/>
      <c r="D38" s="42"/>
      <c r="F38" s="41" t="s">
        <v>84</v>
      </c>
      <c r="G38" s="40"/>
      <c r="H38" s="40"/>
      <c r="I38" s="40"/>
    </row>
    <row r="39" spans="1:9" ht="15.5">
      <c r="A39" s="42"/>
      <c r="B39" s="42"/>
      <c r="C39" s="42"/>
      <c r="D39" s="42"/>
      <c r="F39" s="41"/>
      <c r="G39" s="40"/>
      <c r="H39" s="40"/>
      <c r="I39" s="40"/>
    </row>
    <row r="40" spans="1:9" ht="15.5">
      <c r="A40" s="42"/>
      <c r="B40" s="42"/>
      <c r="C40" s="42"/>
      <c r="D40" s="42"/>
      <c r="E40" s="37"/>
      <c r="F40" s="39" t="s">
        <v>85</v>
      </c>
      <c r="G40" s="40"/>
      <c r="H40" s="40"/>
      <c r="I40" s="40"/>
    </row>
    <row r="41" spans="1:9" ht="15.5">
      <c r="A41" s="42"/>
      <c r="B41" s="42"/>
      <c r="C41" s="42"/>
      <c r="D41" s="42"/>
      <c r="E41"/>
      <c r="F41" s="41"/>
      <c r="G41" s="40"/>
      <c r="H41" s="40"/>
      <c r="I41" s="40"/>
    </row>
    <row r="42" spans="1:9" ht="15.5">
      <c r="A42" s="42"/>
      <c r="B42" s="42"/>
      <c r="C42" s="42"/>
      <c r="D42" s="42"/>
      <c r="F42" s="41" t="s">
        <v>86</v>
      </c>
      <c r="G42" s="40"/>
      <c r="H42" s="40"/>
      <c r="I42" s="40"/>
    </row>
    <row r="43" spans="1:9" ht="14.15" customHeight="1">
      <c r="A43" s="42"/>
      <c r="B43" s="42"/>
      <c r="C43" s="42"/>
      <c r="D43" s="42"/>
    </row>
    <row r="57" spans="5:5">
      <c r="E57"/>
    </row>
    <row r="58" spans="5:5" ht="14.15" customHeight="1">
      <c r="E58" s="38"/>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D7E2A-CED3-4993-ACFB-3807A4908DFF}">
  <sheetPr>
    <tabColor rgb="FFFA8D0A"/>
  </sheetPr>
  <dimension ref="C1:X31"/>
  <sheetViews>
    <sheetView workbookViewId="0">
      <selection activeCell="V38" sqref="V38"/>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3:24">
      <c r="V1" s="144" t="s">
        <v>252</v>
      </c>
      <c r="W1" s="144">
        <f>IF(E9&lt;&gt;0,1, IF(E10&lt;&gt;0,1000,IF(E11&lt;&gt;0,1000000,0)))</f>
        <v>1000</v>
      </c>
      <c r="X1" s="144">
        <f>IF(G9&lt;&gt;0,1, IF(G10&lt;&gt;0,1000,IF(G11&lt;&gt;0,1000000,0)))</f>
        <v>1000</v>
      </c>
    </row>
    <row r="2" spans="3:24">
      <c r="V2" s="244"/>
      <c r="W2" s="144"/>
      <c r="X2" s="144"/>
    </row>
    <row r="3" spans="3:24">
      <c r="C3" s="253" t="s">
        <v>298</v>
      </c>
      <c r="D3" s="253"/>
      <c r="E3" s="253"/>
      <c r="F3" s="253"/>
      <c r="G3" s="253"/>
      <c r="H3" s="253"/>
      <c r="I3" s="253"/>
      <c r="V3" s="244"/>
      <c r="W3" s="144"/>
      <c r="X3" s="144"/>
    </row>
    <row r="4" spans="3:24">
      <c r="C4" s="253"/>
      <c r="D4" s="253"/>
      <c r="E4" s="253"/>
      <c r="F4" s="253"/>
      <c r="G4" s="253"/>
      <c r="H4" s="253"/>
      <c r="I4" s="253"/>
      <c r="W4" s="144"/>
      <c r="X4" s="144"/>
    </row>
    <row r="5" spans="3:24" ht="23.5" thickBot="1">
      <c r="C5" s="245"/>
      <c r="D5" s="245"/>
      <c r="E5" s="245"/>
      <c r="F5" s="245"/>
      <c r="G5" s="245"/>
      <c r="H5" s="245"/>
      <c r="I5" s="245"/>
      <c r="W5" s="244"/>
      <c r="X5" s="244"/>
    </row>
    <row r="6" spans="3:24" ht="15" thickBot="1">
      <c r="C6" s="218" t="s">
        <v>25</v>
      </c>
      <c r="D6" s="219"/>
      <c r="E6" s="219" t="s">
        <v>26</v>
      </c>
      <c r="F6" s="219"/>
      <c r="G6" s="219" t="s">
        <v>297</v>
      </c>
      <c r="H6" s="219"/>
      <c r="I6" s="219" t="s">
        <v>27</v>
      </c>
      <c r="J6" s="219" t="s">
        <v>28</v>
      </c>
      <c r="K6" s="219" t="s">
        <v>34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53" t="s">
        <v>299</v>
      </c>
      <c r="D19" s="253"/>
      <c r="E19" s="253"/>
      <c r="F19" s="253"/>
      <c r="G19" s="253"/>
      <c r="H19" s="253"/>
      <c r="I19" s="253"/>
    </row>
    <row r="20" spans="3:13">
      <c r="C20" s="253"/>
      <c r="D20" s="253"/>
      <c r="E20" s="253"/>
      <c r="F20" s="253"/>
      <c r="G20" s="253"/>
      <c r="H20" s="253"/>
      <c r="I20" s="253"/>
    </row>
    <row r="21" spans="3:13" ht="23.5" thickBot="1">
      <c r="C21" s="245"/>
      <c r="D21" s="245"/>
      <c r="E21" s="245"/>
      <c r="F21" s="245"/>
      <c r="G21" s="245"/>
      <c r="H21" s="245"/>
      <c r="I21" s="245"/>
    </row>
    <row r="22" spans="3:13" ht="15" thickBot="1">
      <c r="C22" s="218" t="s">
        <v>25</v>
      </c>
      <c r="D22" s="219"/>
      <c r="E22" s="219" t="s">
        <v>26</v>
      </c>
      <c r="F22" s="219"/>
      <c r="G22" s="219" t="s">
        <v>297</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Simple Transitor Amp</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2021-05-17T20:44:39Z</dcterms:modified>
</cp:coreProperties>
</file>